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3/Workbooks October 2023- LOCKED/WB SA/"/>
    </mc:Choice>
  </mc:AlternateContent>
  <xr:revisionPtr revIDLastSave="0" documentId="13_ncr:1_{C3F80A51-030A-7846-812E-21D6395AC6C1}" xr6:coauthVersionLast="47" xr6:coauthVersionMax="47" xr10:uidLastSave="{00000000-0000-0000-0000-000000000000}"/>
  <workbookProtection workbookAlgorithmName="SHA-512" workbookHashValue="esdun0nYzGe6+bZIDFTqcphN+wtw+vS8+SejIaJc0ZxIkXK/bmQaOIKK7qyftSR3vU2bQsMbWwwzAWXi11uHhQ==" workbookSaltValue="s9cUiG/ZlY4nG4ofj/8Prw==" workbookSpinCount="100000" lockStructure="1"/>
  <bookViews>
    <workbookView xWindow="3740" yWindow="700" windowWidth="38400" windowHeight="19540" tabRatio="500" activeTab="1" xr2:uid="{00000000-000D-0000-FFFF-FFFF00000000}"/>
  </bookViews>
  <sheets>
    <sheet name="Notes" sheetId="19" r:id="rId1"/>
    <sheet name="SA Bills Oct 2023" sheetId="39" r:id="rId2"/>
    <sheet name="SA Bills Apr 2023" sheetId="37" r:id="rId3"/>
    <sheet name="SA Bills October 2022" sheetId="35" r:id="rId4"/>
    <sheet name="SA Bills April 2022" sheetId="33" r:id="rId5"/>
    <sheet name="SA Bills October 2021" sheetId="31" r:id="rId6"/>
    <sheet name="SA Bills April 2021" sheetId="28" r:id="rId7"/>
    <sheet name="SA Bills October 2020" sheetId="27" r:id="rId8"/>
    <sheet name="SA Bills April 2020" sheetId="18" r:id="rId9"/>
    <sheet name="SA Bills October 2019" sheetId="16" r:id="rId10"/>
    <sheet name="SA Bills April 2019" sheetId="14" r:id="rId11"/>
    <sheet name="SA Bills October 2018" sheetId="20" r:id="rId12"/>
    <sheet name="SA Bills April 2018" sheetId="22" r:id="rId13"/>
    <sheet name="SA Bills October 2017" sheetId="23" r:id="rId14"/>
    <sheet name="SA Bills April 2017" sheetId="24" r:id="rId15"/>
    <sheet name="SA Bills April 2016" sheetId="25" r:id="rId16"/>
    <sheet name="SA Oct 2023" sheetId="38" state="hidden" r:id="rId17"/>
    <sheet name="SA Apr 2023" sheetId="36" state="hidden" r:id="rId18"/>
    <sheet name="SA Oct 2022" sheetId="34" state="hidden" r:id="rId19"/>
    <sheet name="SA Apr 2022" sheetId="32" state="hidden" r:id="rId20"/>
    <sheet name="SA Oct 2021" sheetId="30" state="hidden" r:id="rId21"/>
    <sheet name="SA Apr 2021" sheetId="29" state="hidden" r:id="rId22"/>
    <sheet name="SA Oct 2020" sheetId="26" state="hidden" r:id="rId23"/>
    <sheet name="SA Apr 2020" sheetId="17" state="hidden" r:id="rId24"/>
    <sheet name="SA Oct 2019" sheetId="15" state="hidden" r:id="rId25"/>
    <sheet name="SA Apr 2019" sheetId="13" state="hidden" r:id="rId26"/>
    <sheet name="SA Oct 2018" sheetId="11" state="hidden" r:id="rId27"/>
    <sheet name="SA Apr 2018" sheetId="9" state="hidden" r:id="rId28"/>
    <sheet name="SA Oct 2017" sheetId="7" state="hidden" r:id="rId29"/>
    <sheet name="SA Apr 2017" sheetId="5" state="hidden" r:id="rId30"/>
    <sheet name="SA Apr 2016" sheetId="1" state="hidden" r:id="rId3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83" i="39" l="1"/>
  <c r="B83" i="39"/>
  <c r="C83" i="39"/>
  <c r="D83" i="39"/>
  <c r="E83" i="39"/>
  <c r="I83" i="39" s="1"/>
  <c r="F83" i="39"/>
  <c r="H83" i="39"/>
  <c r="M83" i="39"/>
  <c r="N83" i="39"/>
  <c r="Q83" i="39" s="1"/>
  <c r="O83" i="39"/>
  <c r="P83" i="39"/>
  <c r="R83" i="39"/>
  <c r="A24" i="39"/>
  <c r="R24" i="39" s="1"/>
  <c r="B24" i="39"/>
  <c r="C24" i="39"/>
  <c r="D24" i="39"/>
  <c r="E24" i="39"/>
  <c r="F24" i="39"/>
  <c r="H24" i="39"/>
  <c r="I24" i="39"/>
  <c r="J24" i="39" s="1"/>
  <c r="M24" i="39"/>
  <c r="Q24" i="39" s="1"/>
  <c r="N24" i="39"/>
  <c r="O24" i="39"/>
  <c r="P24" i="39"/>
  <c r="A25" i="39"/>
  <c r="R25" i="39" s="1"/>
  <c r="B25" i="39"/>
  <c r="C25" i="39"/>
  <c r="I25" i="39" s="1"/>
  <c r="D25" i="39"/>
  <c r="E25" i="39"/>
  <c r="F25" i="39"/>
  <c r="H25" i="39"/>
  <c r="M25" i="39"/>
  <c r="N25" i="39"/>
  <c r="O25" i="39"/>
  <c r="Q25" i="39" s="1"/>
  <c r="P25" i="39"/>
  <c r="P82" i="39"/>
  <c r="O82" i="39"/>
  <c r="N82" i="39"/>
  <c r="M82" i="39"/>
  <c r="H82" i="39"/>
  <c r="F82" i="39"/>
  <c r="E82" i="39"/>
  <c r="D82" i="39"/>
  <c r="C82" i="39"/>
  <c r="B82" i="39"/>
  <c r="A82" i="39"/>
  <c r="P81" i="39"/>
  <c r="O81" i="39"/>
  <c r="N81" i="39"/>
  <c r="M81" i="39"/>
  <c r="H81" i="39"/>
  <c r="F81" i="39"/>
  <c r="E81" i="39"/>
  <c r="D81" i="39"/>
  <c r="C81" i="39"/>
  <c r="B81" i="39"/>
  <c r="A81" i="39"/>
  <c r="R81" i="39" s="1"/>
  <c r="P80" i="39"/>
  <c r="O80" i="39"/>
  <c r="N80" i="39"/>
  <c r="M80" i="39"/>
  <c r="H80" i="39"/>
  <c r="F80" i="39"/>
  <c r="E80" i="39"/>
  <c r="D80" i="39"/>
  <c r="C80" i="39"/>
  <c r="B80" i="39"/>
  <c r="A80" i="39"/>
  <c r="P79" i="39"/>
  <c r="O79" i="39"/>
  <c r="N79" i="39"/>
  <c r="M79" i="39"/>
  <c r="H79" i="39"/>
  <c r="F79" i="39"/>
  <c r="E79" i="39"/>
  <c r="D79" i="39"/>
  <c r="C79" i="39"/>
  <c r="B79" i="39"/>
  <c r="A79" i="39"/>
  <c r="R79" i="39" s="1"/>
  <c r="P78" i="39"/>
  <c r="O78" i="39"/>
  <c r="N78" i="39"/>
  <c r="M78" i="39"/>
  <c r="H78" i="39"/>
  <c r="F78" i="39"/>
  <c r="E78" i="39"/>
  <c r="D78" i="39"/>
  <c r="C78" i="39"/>
  <c r="B78" i="39"/>
  <c r="A78" i="39"/>
  <c r="R78" i="39" s="1"/>
  <c r="P77" i="39"/>
  <c r="O77" i="39"/>
  <c r="N77" i="39"/>
  <c r="M77" i="39"/>
  <c r="H77" i="39"/>
  <c r="F77" i="39"/>
  <c r="E77" i="39"/>
  <c r="D77" i="39"/>
  <c r="C77" i="39"/>
  <c r="B77" i="39"/>
  <c r="A77" i="39"/>
  <c r="P76" i="39"/>
  <c r="O76" i="39"/>
  <c r="N76" i="39"/>
  <c r="M76" i="39"/>
  <c r="H76" i="39"/>
  <c r="F76" i="39"/>
  <c r="E76" i="39"/>
  <c r="D76" i="39"/>
  <c r="C76" i="39"/>
  <c r="B76" i="39"/>
  <c r="A76" i="39"/>
  <c r="R76" i="39" s="1"/>
  <c r="P75" i="39"/>
  <c r="O75" i="39"/>
  <c r="N75" i="39"/>
  <c r="M75" i="39"/>
  <c r="H75" i="39"/>
  <c r="F75" i="39"/>
  <c r="E75" i="39"/>
  <c r="D75" i="39"/>
  <c r="C75" i="39"/>
  <c r="B75" i="39"/>
  <c r="A75" i="39"/>
  <c r="R75" i="39" s="1"/>
  <c r="P74" i="39"/>
  <c r="O74" i="39"/>
  <c r="N74" i="39"/>
  <c r="M74" i="39"/>
  <c r="H74" i="39"/>
  <c r="F74" i="39"/>
  <c r="E74" i="39"/>
  <c r="D74" i="39"/>
  <c r="C74" i="39"/>
  <c r="B74" i="39"/>
  <c r="A74" i="39"/>
  <c r="R74" i="39" s="1"/>
  <c r="P73" i="39"/>
  <c r="O73" i="39"/>
  <c r="N73" i="39"/>
  <c r="M73" i="39"/>
  <c r="H73" i="39"/>
  <c r="F73" i="39"/>
  <c r="E73" i="39"/>
  <c r="D73" i="39"/>
  <c r="C73" i="39"/>
  <c r="B73" i="39"/>
  <c r="A73" i="39"/>
  <c r="R73" i="39" s="1"/>
  <c r="P72" i="39"/>
  <c r="O72" i="39"/>
  <c r="N72" i="39"/>
  <c r="M72" i="39"/>
  <c r="H72" i="39"/>
  <c r="F72" i="39"/>
  <c r="E72" i="39"/>
  <c r="D72" i="39"/>
  <c r="C72" i="39"/>
  <c r="B72" i="39"/>
  <c r="A72" i="39"/>
  <c r="R72" i="39" s="1"/>
  <c r="P71" i="39"/>
  <c r="O71" i="39"/>
  <c r="N71" i="39"/>
  <c r="M71" i="39"/>
  <c r="H71" i="39"/>
  <c r="F71" i="39"/>
  <c r="E71" i="39"/>
  <c r="D71" i="39"/>
  <c r="C71" i="39"/>
  <c r="B71" i="39"/>
  <c r="A71" i="39"/>
  <c r="R71" i="39" s="1"/>
  <c r="P70" i="39"/>
  <c r="O70" i="39"/>
  <c r="N70" i="39"/>
  <c r="M70" i="39"/>
  <c r="H70" i="39"/>
  <c r="F70" i="39"/>
  <c r="E70" i="39"/>
  <c r="D70" i="39"/>
  <c r="C70" i="39"/>
  <c r="B70" i="39"/>
  <c r="A70" i="39"/>
  <c r="R70" i="39" s="1"/>
  <c r="P69" i="39"/>
  <c r="O69" i="39"/>
  <c r="N69" i="39"/>
  <c r="M69" i="39"/>
  <c r="H69" i="39"/>
  <c r="F69" i="39"/>
  <c r="E69" i="39"/>
  <c r="D69" i="39"/>
  <c r="C69" i="39"/>
  <c r="B69" i="39"/>
  <c r="A69" i="39"/>
  <c r="R69" i="39" s="1"/>
  <c r="P60" i="39"/>
  <c r="O60" i="39"/>
  <c r="N60" i="39"/>
  <c r="M60" i="39"/>
  <c r="H60" i="39"/>
  <c r="G60" i="39"/>
  <c r="F60" i="39"/>
  <c r="E60" i="39"/>
  <c r="D60" i="39"/>
  <c r="C60" i="39"/>
  <c r="B60" i="39"/>
  <c r="A60" i="39"/>
  <c r="R60" i="39" s="1"/>
  <c r="P59" i="39"/>
  <c r="O59" i="39"/>
  <c r="N59" i="39"/>
  <c r="M59" i="39"/>
  <c r="H59" i="39"/>
  <c r="G59" i="39"/>
  <c r="F59" i="39"/>
  <c r="E59" i="39"/>
  <c r="D59" i="39"/>
  <c r="C59" i="39"/>
  <c r="B59" i="39"/>
  <c r="A59" i="39"/>
  <c r="R59" i="39" s="1"/>
  <c r="P49" i="39"/>
  <c r="O49" i="39"/>
  <c r="N49" i="39"/>
  <c r="M49" i="39"/>
  <c r="G49" i="39"/>
  <c r="F49" i="39"/>
  <c r="E49" i="39"/>
  <c r="D49" i="39"/>
  <c r="C49" i="39"/>
  <c r="B49" i="39"/>
  <c r="A49" i="39"/>
  <c r="R49" i="39" s="1"/>
  <c r="P48" i="39"/>
  <c r="O48" i="39"/>
  <c r="N48" i="39"/>
  <c r="M48" i="39"/>
  <c r="G48" i="39"/>
  <c r="F48" i="39"/>
  <c r="E48" i="39"/>
  <c r="D48" i="39"/>
  <c r="C48" i="39"/>
  <c r="B48" i="39"/>
  <c r="A48" i="39"/>
  <c r="R48" i="39" s="1"/>
  <c r="P47" i="39"/>
  <c r="O47" i="39"/>
  <c r="N47" i="39"/>
  <c r="M47" i="39"/>
  <c r="G47" i="39"/>
  <c r="F47" i="39"/>
  <c r="E47" i="39"/>
  <c r="D47" i="39"/>
  <c r="C47" i="39"/>
  <c r="B47" i="39"/>
  <c r="A47" i="39"/>
  <c r="R47" i="39" s="1"/>
  <c r="P46" i="39"/>
  <c r="O46" i="39"/>
  <c r="N46" i="39"/>
  <c r="M46" i="39"/>
  <c r="G46" i="39"/>
  <c r="F46" i="39"/>
  <c r="E46" i="39"/>
  <c r="D46" i="39"/>
  <c r="C46" i="39"/>
  <c r="B46" i="39"/>
  <c r="A46" i="39"/>
  <c r="R46" i="39" s="1"/>
  <c r="P45" i="39"/>
  <c r="O45" i="39"/>
  <c r="N45" i="39"/>
  <c r="M45" i="39"/>
  <c r="G45" i="39"/>
  <c r="F45" i="39"/>
  <c r="E45" i="39"/>
  <c r="D45" i="39"/>
  <c r="C45" i="39"/>
  <c r="B45" i="39"/>
  <c r="A45" i="39"/>
  <c r="R45" i="39" s="1"/>
  <c r="P44" i="39"/>
  <c r="O44" i="39"/>
  <c r="N44" i="39"/>
  <c r="M44" i="39"/>
  <c r="G44" i="39"/>
  <c r="F44" i="39"/>
  <c r="E44" i="39"/>
  <c r="D44" i="39"/>
  <c r="C44" i="39"/>
  <c r="B44" i="39"/>
  <c r="A44" i="39"/>
  <c r="R44" i="39" s="1"/>
  <c r="P43" i="39"/>
  <c r="O43" i="39"/>
  <c r="N43" i="39"/>
  <c r="M43" i="39"/>
  <c r="G43" i="39"/>
  <c r="F43" i="39"/>
  <c r="E43" i="39"/>
  <c r="D43" i="39"/>
  <c r="C43" i="39"/>
  <c r="B43" i="39"/>
  <c r="A43" i="39"/>
  <c r="R43" i="39" s="1"/>
  <c r="P42" i="39"/>
  <c r="O42" i="39"/>
  <c r="N42" i="39"/>
  <c r="M42" i="39"/>
  <c r="G42" i="39"/>
  <c r="F42" i="39"/>
  <c r="E42" i="39"/>
  <c r="D42" i="39"/>
  <c r="C42" i="39"/>
  <c r="B42" i="39"/>
  <c r="A42" i="39"/>
  <c r="P41" i="39"/>
  <c r="O41" i="39"/>
  <c r="N41" i="39"/>
  <c r="M41" i="39"/>
  <c r="G41" i="39"/>
  <c r="F41" i="39"/>
  <c r="E41" i="39"/>
  <c r="D41" i="39"/>
  <c r="C41" i="39"/>
  <c r="B41" i="39"/>
  <c r="A41" i="39"/>
  <c r="R41" i="39" s="1"/>
  <c r="P40" i="39"/>
  <c r="O40" i="39"/>
  <c r="N40" i="39"/>
  <c r="M40" i="39"/>
  <c r="G40" i="39"/>
  <c r="F40" i="39"/>
  <c r="E40" i="39"/>
  <c r="D40" i="39"/>
  <c r="C40" i="39"/>
  <c r="B40" i="39"/>
  <c r="A40" i="39"/>
  <c r="R40" i="39" s="1"/>
  <c r="P39" i="39"/>
  <c r="O39" i="39"/>
  <c r="N39" i="39"/>
  <c r="M39" i="39"/>
  <c r="G39" i="39"/>
  <c r="F39" i="39"/>
  <c r="E39" i="39"/>
  <c r="D39" i="39"/>
  <c r="C39" i="39"/>
  <c r="B39" i="39"/>
  <c r="A39" i="39"/>
  <c r="R39" i="39" s="1"/>
  <c r="P38" i="39"/>
  <c r="O38" i="39"/>
  <c r="N38" i="39"/>
  <c r="M38" i="39"/>
  <c r="G38" i="39"/>
  <c r="F38" i="39"/>
  <c r="E38" i="39"/>
  <c r="D38" i="39"/>
  <c r="C38" i="39"/>
  <c r="B38" i="39"/>
  <c r="A38" i="39"/>
  <c r="R38" i="39" s="1"/>
  <c r="P37" i="39"/>
  <c r="O37" i="39"/>
  <c r="N37" i="39"/>
  <c r="M37" i="39"/>
  <c r="G37" i="39"/>
  <c r="F37" i="39"/>
  <c r="E37" i="39"/>
  <c r="D37" i="39"/>
  <c r="C37" i="39"/>
  <c r="B37" i="39"/>
  <c r="A37" i="39"/>
  <c r="P36" i="39"/>
  <c r="O36" i="39"/>
  <c r="N36" i="39"/>
  <c r="M36" i="39"/>
  <c r="G36" i="39"/>
  <c r="F36" i="39"/>
  <c r="E36" i="39"/>
  <c r="D36" i="39"/>
  <c r="C36" i="39"/>
  <c r="B36" i="39"/>
  <c r="A36" i="39"/>
  <c r="R36" i="39" s="1"/>
  <c r="P35" i="39"/>
  <c r="O35" i="39"/>
  <c r="N35" i="39"/>
  <c r="M35" i="39"/>
  <c r="H35" i="39"/>
  <c r="G35" i="39"/>
  <c r="F35" i="39"/>
  <c r="E35" i="39"/>
  <c r="D35" i="39"/>
  <c r="C35" i="39"/>
  <c r="B35" i="39"/>
  <c r="A35" i="39"/>
  <c r="R35" i="39" s="1"/>
  <c r="P34" i="39"/>
  <c r="O34" i="39"/>
  <c r="N34" i="39"/>
  <c r="M34" i="39"/>
  <c r="G34" i="39"/>
  <c r="F34" i="39"/>
  <c r="E34" i="39"/>
  <c r="D34" i="39"/>
  <c r="C34" i="39"/>
  <c r="B34" i="39"/>
  <c r="A34" i="39"/>
  <c r="R34" i="39" s="1"/>
  <c r="P23" i="39"/>
  <c r="O23" i="39"/>
  <c r="N23" i="39"/>
  <c r="M23" i="39"/>
  <c r="H23" i="39"/>
  <c r="F23" i="39"/>
  <c r="E23" i="39"/>
  <c r="D23" i="39"/>
  <c r="C23" i="39"/>
  <c r="B23" i="39"/>
  <c r="A23" i="39"/>
  <c r="R23" i="39" s="1"/>
  <c r="P22" i="39"/>
  <c r="O22" i="39"/>
  <c r="N22" i="39"/>
  <c r="M22" i="39"/>
  <c r="H22" i="39"/>
  <c r="F22" i="39"/>
  <c r="E22" i="39"/>
  <c r="D22" i="39"/>
  <c r="C22" i="39"/>
  <c r="B22" i="39"/>
  <c r="A22" i="39"/>
  <c r="R22" i="39" s="1"/>
  <c r="P21" i="39"/>
  <c r="O21" i="39"/>
  <c r="N21" i="39"/>
  <c r="M21" i="39"/>
  <c r="H21" i="39"/>
  <c r="F21" i="39"/>
  <c r="E21" i="39"/>
  <c r="D21" i="39"/>
  <c r="C21" i="39"/>
  <c r="B21" i="39"/>
  <c r="A21" i="39"/>
  <c r="R21" i="39" s="1"/>
  <c r="P20" i="39"/>
  <c r="O20" i="39"/>
  <c r="N20" i="39"/>
  <c r="M20" i="39"/>
  <c r="H20" i="39"/>
  <c r="F20" i="39"/>
  <c r="E20" i="39"/>
  <c r="D20" i="39"/>
  <c r="C20" i="39"/>
  <c r="B20" i="39"/>
  <c r="A20" i="39"/>
  <c r="R20" i="39" s="1"/>
  <c r="P19" i="39"/>
  <c r="O19" i="39"/>
  <c r="N19" i="39"/>
  <c r="M19" i="39"/>
  <c r="H19" i="39"/>
  <c r="F19" i="39"/>
  <c r="E19" i="39"/>
  <c r="D19" i="39"/>
  <c r="C19" i="39"/>
  <c r="B19" i="39"/>
  <c r="A19" i="39"/>
  <c r="R19" i="39" s="1"/>
  <c r="P18" i="39"/>
  <c r="O18" i="39"/>
  <c r="N18" i="39"/>
  <c r="M18" i="39"/>
  <c r="H18" i="39"/>
  <c r="F18" i="39"/>
  <c r="E18" i="39"/>
  <c r="D18" i="39"/>
  <c r="C18" i="39"/>
  <c r="B18" i="39"/>
  <c r="A18" i="39"/>
  <c r="R18" i="39" s="1"/>
  <c r="P17" i="39"/>
  <c r="O17" i="39"/>
  <c r="N17" i="39"/>
  <c r="M17" i="39"/>
  <c r="H17" i="39"/>
  <c r="F17" i="39"/>
  <c r="E17" i="39"/>
  <c r="D17" i="39"/>
  <c r="C17" i="39"/>
  <c r="B17" i="39"/>
  <c r="A17" i="39"/>
  <c r="R17" i="39" s="1"/>
  <c r="P16" i="39"/>
  <c r="O16" i="39"/>
  <c r="N16" i="39"/>
  <c r="M16" i="39"/>
  <c r="H16" i="39"/>
  <c r="F16" i="39"/>
  <c r="E16" i="39"/>
  <c r="D16" i="39"/>
  <c r="C16" i="39"/>
  <c r="B16" i="39"/>
  <c r="A16" i="39"/>
  <c r="R16" i="39" s="1"/>
  <c r="P15" i="39"/>
  <c r="O15" i="39"/>
  <c r="N15" i="39"/>
  <c r="M15" i="39"/>
  <c r="H15" i="39"/>
  <c r="F15" i="39"/>
  <c r="E15" i="39"/>
  <c r="D15" i="39"/>
  <c r="C15" i="39"/>
  <c r="B15" i="39"/>
  <c r="A15" i="39"/>
  <c r="R15" i="39" s="1"/>
  <c r="P14" i="39"/>
  <c r="O14" i="39"/>
  <c r="N14" i="39"/>
  <c r="M14" i="39"/>
  <c r="H14" i="39"/>
  <c r="F14" i="39"/>
  <c r="E14" i="39"/>
  <c r="D14" i="39"/>
  <c r="C14" i="39"/>
  <c r="B14" i="39"/>
  <c r="A14" i="39"/>
  <c r="R14" i="39" s="1"/>
  <c r="P13" i="39"/>
  <c r="O13" i="39"/>
  <c r="N13" i="39"/>
  <c r="M13" i="39"/>
  <c r="H13" i="39"/>
  <c r="F13" i="39"/>
  <c r="E13" i="39"/>
  <c r="D13" i="39"/>
  <c r="C13" i="39"/>
  <c r="B13" i="39"/>
  <c r="A13" i="39"/>
  <c r="R13" i="39" s="1"/>
  <c r="P12" i="39"/>
  <c r="O12" i="39"/>
  <c r="N12" i="39"/>
  <c r="M12" i="39"/>
  <c r="H12" i="39"/>
  <c r="F12" i="39"/>
  <c r="E12" i="39"/>
  <c r="D12" i="39"/>
  <c r="C12" i="39"/>
  <c r="B12" i="39"/>
  <c r="A12" i="39"/>
  <c r="R12" i="39" s="1"/>
  <c r="P11" i="39"/>
  <c r="O11" i="39"/>
  <c r="N11" i="39"/>
  <c r="M11" i="39"/>
  <c r="H11" i="39"/>
  <c r="F11" i="39"/>
  <c r="E11" i="39"/>
  <c r="D11" i="39"/>
  <c r="C11" i="39"/>
  <c r="B11" i="39"/>
  <c r="A11" i="39"/>
  <c r="R11" i="39" s="1"/>
  <c r="P10" i="39"/>
  <c r="O10" i="39"/>
  <c r="N10" i="39"/>
  <c r="M10" i="39"/>
  <c r="H10" i="39"/>
  <c r="F10" i="39"/>
  <c r="E10" i="39"/>
  <c r="D10" i="39"/>
  <c r="C10" i="39"/>
  <c r="B10" i="39"/>
  <c r="A10" i="39"/>
  <c r="R10" i="39" s="1"/>
  <c r="P9" i="39"/>
  <c r="O9" i="39"/>
  <c r="N9" i="39"/>
  <c r="M9" i="39"/>
  <c r="H9" i="39"/>
  <c r="F9" i="39"/>
  <c r="E9" i="39"/>
  <c r="D9" i="39"/>
  <c r="C9" i="39"/>
  <c r="B9" i="39"/>
  <c r="A9" i="39"/>
  <c r="R9" i="39" s="1"/>
  <c r="P8" i="39"/>
  <c r="O8" i="39"/>
  <c r="N8" i="39"/>
  <c r="M8" i="39"/>
  <c r="H8" i="39"/>
  <c r="F8" i="39"/>
  <c r="E8" i="39"/>
  <c r="D8" i="39"/>
  <c r="C8" i="39"/>
  <c r="B8" i="39"/>
  <c r="A8" i="39"/>
  <c r="R8" i="39" s="1"/>
  <c r="R82" i="39"/>
  <c r="R80" i="39"/>
  <c r="R77" i="39"/>
  <c r="R42" i="39"/>
  <c r="R37" i="39"/>
  <c r="A80" i="37"/>
  <c r="B80" i="37"/>
  <c r="C80" i="37"/>
  <c r="D80" i="37"/>
  <c r="E80" i="37"/>
  <c r="F80" i="37"/>
  <c r="H80" i="37"/>
  <c r="M80" i="37"/>
  <c r="Q80" i="37" s="1"/>
  <c r="N80" i="37"/>
  <c r="O80" i="37"/>
  <c r="P80" i="37"/>
  <c r="R80" i="37"/>
  <c r="A81" i="37"/>
  <c r="R81" i="37" s="1"/>
  <c r="B81" i="37"/>
  <c r="C81" i="37"/>
  <c r="D81" i="37"/>
  <c r="E81" i="37"/>
  <c r="F81" i="37"/>
  <c r="H81" i="37"/>
  <c r="M81" i="37"/>
  <c r="Q81" i="37" s="1"/>
  <c r="N81" i="37"/>
  <c r="O81" i="37"/>
  <c r="P81" i="37"/>
  <c r="A47" i="37"/>
  <c r="B47" i="37"/>
  <c r="C47" i="37"/>
  <c r="I47" i="37" s="1"/>
  <c r="J47" i="37" s="1"/>
  <c r="D47" i="37"/>
  <c r="E47" i="37"/>
  <c r="F47" i="37"/>
  <c r="G47" i="37"/>
  <c r="M47" i="37"/>
  <c r="N47" i="37"/>
  <c r="O47" i="37"/>
  <c r="Q47" i="37" s="1"/>
  <c r="P47" i="37"/>
  <c r="R47" i="37"/>
  <c r="A48" i="37"/>
  <c r="R48" i="37" s="1"/>
  <c r="B48" i="37"/>
  <c r="C48" i="37"/>
  <c r="D48" i="37"/>
  <c r="E48" i="37"/>
  <c r="I48" i="37" s="1"/>
  <c r="F48" i="37"/>
  <c r="G48" i="37"/>
  <c r="M48" i="37"/>
  <c r="N48" i="37"/>
  <c r="O48" i="37"/>
  <c r="P48" i="37"/>
  <c r="Q48" i="37"/>
  <c r="A23" i="37"/>
  <c r="R23" i="37" s="1"/>
  <c r="B23" i="37"/>
  <c r="C23" i="37"/>
  <c r="D23" i="37"/>
  <c r="E23" i="37"/>
  <c r="F23" i="37"/>
  <c r="H23" i="37"/>
  <c r="M23" i="37"/>
  <c r="N23" i="37"/>
  <c r="O23" i="37"/>
  <c r="P23" i="37"/>
  <c r="A24" i="37"/>
  <c r="B24" i="37"/>
  <c r="C24" i="37"/>
  <c r="D24" i="37"/>
  <c r="E24" i="37"/>
  <c r="F24" i="37"/>
  <c r="H24" i="37"/>
  <c r="M24" i="37"/>
  <c r="N24" i="37"/>
  <c r="O24" i="37"/>
  <c r="P24" i="37"/>
  <c r="R24" i="37"/>
  <c r="P79" i="37"/>
  <c r="O79" i="37"/>
  <c r="N79" i="37"/>
  <c r="M79" i="37"/>
  <c r="H79" i="37"/>
  <c r="F79" i="37"/>
  <c r="E79" i="37"/>
  <c r="D79" i="37"/>
  <c r="C79" i="37"/>
  <c r="B79" i="37"/>
  <c r="A79" i="37"/>
  <c r="R79" i="37" s="1"/>
  <c r="P78" i="37"/>
  <c r="O78" i="37"/>
  <c r="N78" i="37"/>
  <c r="M78" i="37"/>
  <c r="H78" i="37"/>
  <c r="F78" i="37"/>
  <c r="E78" i="37"/>
  <c r="D78" i="37"/>
  <c r="C78" i="37"/>
  <c r="B78" i="37"/>
  <c r="A78" i="37"/>
  <c r="P77" i="37"/>
  <c r="O77" i="37"/>
  <c r="N77" i="37"/>
  <c r="M77" i="37"/>
  <c r="H77" i="37"/>
  <c r="F77" i="37"/>
  <c r="E77" i="37"/>
  <c r="D77" i="37"/>
  <c r="C77" i="37"/>
  <c r="I77" i="37" s="1"/>
  <c r="B77" i="37"/>
  <c r="A77" i="37"/>
  <c r="R77" i="37" s="1"/>
  <c r="P76" i="37"/>
  <c r="O76" i="37"/>
  <c r="N76" i="37"/>
  <c r="M76" i="37"/>
  <c r="H76" i="37"/>
  <c r="F76" i="37"/>
  <c r="E76" i="37"/>
  <c r="D76" i="37"/>
  <c r="C76" i="37"/>
  <c r="B76" i="37"/>
  <c r="A76" i="37"/>
  <c r="P75" i="37"/>
  <c r="O75" i="37"/>
  <c r="N75" i="37"/>
  <c r="M75" i="37"/>
  <c r="H75" i="37"/>
  <c r="F75" i="37"/>
  <c r="E75" i="37"/>
  <c r="D75" i="37"/>
  <c r="C75" i="37"/>
  <c r="B75" i="37"/>
  <c r="A75" i="37"/>
  <c r="P74" i="37"/>
  <c r="O74" i="37"/>
  <c r="N74" i="37"/>
  <c r="M74" i="37"/>
  <c r="H74" i="37"/>
  <c r="F74" i="37"/>
  <c r="E74" i="37"/>
  <c r="D74" i="37"/>
  <c r="C74" i="37"/>
  <c r="B74" i="37"/>
  <c r="A74" i="37"/>
  <c r="R74" i="37" s="1"/>
  <c r="P73" i="37"/>
  <c r="O73" i="37"/>
  <c r="N73" i="37"/>
  <c r="M73" i="37"/>
  <c r="H73" i="37"/>
  <c r="F73" i="37"/>
  <c r="E73" i="37"/>
  <c r="D73" i="37"/>
  <c r="C73" i="37"/>
  <c r="B73" i="37"/>
  <c r="A73" i="37"/>
  <c r="P72" i="37"/>
  <c r="O72" i="37"/>
  <c r="N72" i="37"/>
  <c r="M72" i="37"/>
  <c r="H72" i="37"/>
  <c r="F72" i="37"/>
  <c r="E72" i="37"/>
  <c r="D72" i="37"/>
  <c r="C72" i="37"/>
  <c r="B72" i="37"/>
  <c r="A72" i="37"/>
  <c r="R72" i="37" s="1"/>
  <c r="P71" i="37"/>
  <c r="O71" i="37"/>
  <c r="N71" i="37"/>
  <c r="M71" i="37"/>
  <c r="H71" i="37"/>
  <c r="F71" i="37"/>
  <c r="E71" i="37"/>
  <c r="D71" i="37"/>
  <c r="C71" i="37"/>
  <c r="B71" i="37"/>
  <c r="A71" i="37"/>
  <c r="R71" i="37" s="1"/>
  <c r="P70" i="37"/>
  <c r="O70" i="37"/>
  <c r="N70" i="37"/>
  <c r="M70" i="37"/>
  <c r="H70" i="37"/>
  <c r="F70" i="37"/>
  <c r="E70" i="37"/>
  <c r="D70" i="37"/>
  <c r="C70" i="37"/>
  <c r="B70" i="37"/>
  <c r="A70" i="37"/>
  <c r="P69" i="37"/>
  <c r="O69" i="37"/>
  <c r="N69" i="37"/>
  <c r="M69" i="37"/>
  <c r="H69" i="37"/>
  <c r="F69" i="37"/>
  <c r="E69" i="37"/>
  <c r="D69" i="37"/>
  <c r="C69" i="37"/>
  <c r="B69" i="37"/>
  <c r="A69" i="37"/>
  <c r="R69" i="37" s="1"/>
  <c r="P68" i="37"/>
  <c r="O68" i="37"/>
  <c r="N68" i="37"/>
  <c r="M68" i="37"/>
  <c r="H68" i="37"/>
  <c r="F68" i="37"/>
  <c r="E68" i="37"/>
  <c r="D68" i="37"/>
  <c r="C68" i="37"/>
  <c r="B68" i="37"/>
  <c r="A68" i="37"/>
  <c r="R68" i="37" s="1"/>
  <c r="P59" i="37"/>
  <c r="O59" i="37"/>
  <c r="N59" i="37"/>
  <c r="M59" i="37"/>
  <c r="H59" i="37"/>
  <c r="G59" i="37"/>
  <c r="F59" i="37"/>
  <c r="E59" i="37"/>
  <c r="D59" i="37"/>
  <c r="C59" i="37"/>
  <c r="B59" i="37"/>
  <c r="A59" i="37"/>
  <c r="P58" i="37"/>
  <c r="O58" i="37"/>
  <c r="N58" i="37"/>
  <c r="M58" i="37"/>
  <c r="H58" i="37"/>
  <c r="G58" i="37"/>
  <c r="F58" i="37"/>
  <c r="E58" i="37"/>
  <c r="D58" i="37"/>
  <c r="C58" i="37"/>
  <c r="B58" i="37"/>
  <c r="A58" i="37"/>
  <c r="P46" i="37"/>
  <c r="O46" i="37"/>
  <c r="N46" i="37"/>
  <c r="M46" i="37"/>
  <c r="G46" i="37"/>
  <c r="F46" i="37"/>
  <c r="E46" i="37"/>
  <c r="D46" i="37"/>
  <c r="C46" i="37"/>
  <c r="B46" i="37"/>
  <c r="A46" i="37"/>
  <c r="R46" i="37" s="1"/>
  <c r="P45" i="37"/>
  <c r="Q45" i="37" s="1"/>
  <c r="O45" i="37"/>
  <c r="N45" i="37"/>
  <c r="M45" i="37"/>
  <c r="G45" i="37"/>
  <c r="F45" i="37"/>
  <c r="E45" i="37"/>
  <c r="D45" i="37"/>
  <c r="C45" i="37"/>
  <c r="B45" i="37"/>
  <c r="A45" i="37"/>
  <c r="R45" i="37" s="1"/>
  <c r="P44" i="37"/>
  <c r="O44" i="37"/>
  <c r="N44" i="37"/>
  <c r="M44" i="37"/>
  <c r="G44" i="37"/>
  <c r="F44" i="37"/>
  <c r="E44" i="37"/>
  <c r="D44" i="37"/>
  <c r="C44" i="37"/>
  <c r="B44" i="37"/>
  <c r="A44" i="37"/>
  <c r="R44" i="37" s="1"/>
  <c r="P43" i="37"/>
  <c r="O43" i="37"/>
  <c r="N43" i="37"/>
  <c r="M43" i="37"/>
  <c r="G43" i="37"/>
  <c r="F43" i="37"/>
  <c r="E43" i="37"/>
  <c r="D43" i="37"/>
  <c r="C43" i="37"/>
  <c r="B43" i="37"/>
  <c r="A43" i="37"/>
  <c r="R43" i="37" s="1"/>
  <c r="P42" i="37"/>
  <c r="O42" i="37"/>
  <c r="N42" i="37"/>
  <c r="M42" i="37"/>
  <c r="G42" i="37"/>
  <c r="F42" i="37"/>
  <c r="E42" i="37"/>
  <c r="D42" i="37"/>
  <c r="C42" i="37"/>
  <c r="B42" i="37"/>
  <c r="A42" i="37"/>
  <c r="P41" i="37"/>
  <c r="O41" i="37"/>
  <c r="N41" i="37"/>
  <c r="M41" i="37"/>
  <c r="Q41" i="37" s="1"/>
  <c r="G41" i="37"/>
  <c r="F41" i="37"/>
  <c r="E41" i="37"/>
  <c r="D41" i="37"/>
  <c r="C41" i="37"/>
  <c r="B41" i="37"/>
  <c r="A41" i="37"/>
  <c r="R41" i="37" s="1"/>
  <c r="P40" i="37"/>
  <c r="O40" i="37"/>
  <c r="N40" i="37"/>
  <c r="M40" i="37"/>
  <c r="G40" i="37"/>
  <c r="F40" i="37"/>
  <c r="E40" i="37"/>
  <c r="D40" i="37"/>
  <c r="C40" i="37"/>
  <c r="B40" i="37"/>
  <c r="A40" i="37"/>
  <c r="R40" i="37" s="1"/>
  <c r="P39" i="37"/>
  <c r="O39" i="37"/>
  <c r="N39" i="37"/>
  <c r="M39" i="37"/>
  <c r="G39" i="37"/>
  <c r="F39" i="37"/>
  <c r="E39" i="37"/>
  <c r="D39" i="37"/>
  <c r="C39" i="37"/>
  <c r="B39" i="37"/>
  <c r="A39" i="37"/>
  <c r="R39" i="37" s="1"/>
  <c r="P38" i="37"/>
  <c r="O38" i="37"/>
  <c r="N38" i="37"/>
  <c r="M38" i="37"/>
  <c r="G38" i="37"/>
  <c r="F38" i="37"/>
  <c r="E38" i="37"/>
  <c r="D38" i="37"/>
  <c r="C38" i="37"/>
  <c r="B38" i="37"/>
  <c r="A38" i="37"/>
  <c r="R38" i="37" s="1"/>
  <c r="P37" i="37"/>
  <c r="Q37" i="37" s="1"/>
  <c r="O37" i="37"/>
  <c r="N37" i="37"/>
  <c r="M37" i="37"/>
  <c r="G37" i="37"/>
  <c r="F37" i="37"/>
  <c r="E37" i="37"/>
  <c r="D37" i="37"/>
  <c r="C37" i="37"/>
  <c r="B37" i="37"/>
  <c r="A37" i="37"/>
  <c r="R37" i="37" s="1"/>
  <c r="P36" i="37"/>
  <c r="O36" i="37"/>
  <c r="N36" i="37"/>
  <c r="M36" i="37"/>
  <c r="G36" i="37"/>
  <c r="F36" i="37"/>
  <c r="E36" i="37"/>
  <c r="D36" i="37"/>
  <c r="C36" i="37"/>
  <c r="B36" i="37"/>
  <c r="A36" i="37"/>
  <c r="R36" i="37" s="1"/>
  <c r="P35" i="37"/>
  <c r="O35" i="37"/>
  <c r="N35" i="37"/>
  <c r="M35" i="37"/>
  <c r="G35" i="37"/>
  <c r="F35" i="37"/>
  <c r="E35" i="37"/>
  <c r="D35" i="37"/>
  <c r="C35" i="37"/>
  <c r="B35" i="37"/>
  <c r="A35" i="37"/>
  <c r="R35" i="37" s="1"/>
  <c r="P34" i="37"/>
  <c r="O34" i="37"/>
  <c r="N34" i="37"/>
  <c r="M34" i="37"/>
  <c r="H34" i="37"/>
  <c r="G34" i="37"/>
  <c r="F34" i="37"/>
  <c r="E34" i="37"/>
  <c r="D34" i="37"/>
  <c r="C34" i="37"/>
  <c r="B34" i="37"/>
  <c r="A34" i="37"/>
  <c r="P33" i="37"/>
  <c r="O33" i="37"/>
  <c r="N33" i="37"/>
  <c r="M33" i="37"/>
  <c r="G33" i="37"/>
  <c r="F33" i="37"/>
  <c r="E33" i="37"/>
  <c r="D33" i="37"/>
  <c r="C33" i="37"/>
  <c r="B33" i="37"/>
  <c r="A33" i="37"/>
  <c r="R33" i="37" s="1"/>
  <c r="P22" i="37"/>
  <c r="O22" i="37"/>
  <c r="N22" i="37"/>
  <c r="M22" i="37"/>
  <c r="H22" i="37"/>
  <c r="F22" i="37"/>
  <c r="E22" i="37"/>
  <c r="D22" i="37"/>
  <c r="C22" i="37"/>
  <c r="B22" i="37"/>
  <c r="A22" i="37"/>
  <c r="R22" i="37" s="1"/>
  <c r="P21" i="37"/>
  <c r="O21" i="37"/>
  <c r="N21" i="37"/>
  <c r="M21" i="37"/>
  <c r="H21" i="37"/>
  <c r="F21" i="37"/>
  <c r="E21" i="37"/>
  <c r="D21" i="37"/>
  <c r="C21" i="37"/>
  <c r="B21" i="37"/>
  <c r="A21" i="37"/>
  <c r="P20" i="37"/>
  <c r="O20" i="37"/>
  <c r="N20" i="37"/>
  <c r="M20" i="37"/>
  <c r="H20" i="37"/>
  <c r="F20" i="37"/>
  <c r="E20" i="37"/>
  <c r="D20" i="37"/>
  <c r="C20" i="37"/>
  <c r="B20" i="37"/>
  <c r="A20" i="37"/>
  <c r="R20" i="37" s="1"/>
  <c r="P19" i="37"/>
  <c r="O19" i="37"/>
  <c r="N19" i="37"/>
  <c r="M19" i="37"/>
  <c r="H19" i="37"/>
  <c r="F19" i="37"/>
  <c r="E19" i="37"/>
  <c r="D19" i="37"/>
  <c r="C19" i="37"/>
  <c r="B19" i="37"/>
  <c r="A19" i="37"/>
  <c r="P18" i="37"/>
  <c r="O18" i="37"/>
  <c r="N18" i="37"/>
  <c r="M18" i="37"/>
  <c r="H18" i="37"/>
  <c r="F18" i="37"/>
  <c r="E18" i="37"/>
  <c r="D18" i="37"/>
  <c r="C18" i="37"/>
  <c r="B18" i="37"/>
  <c r="A18" i="37"/>
  <c r="R18" i="37" s="1"/>
  <c r="P17" i="37"/>
  <c r="O17" i="37"/>
  <c r="N17" i="37"/>
  <c r="M17" i="37"/>
  <c r="H17" i="37"/>
  <c r="F17" i="37"/>
  <c r="E17" i="37"/>
  <c r="D17" i="37"/>
  <c r="C17" i="37"/>
  <c r="B17" i="37"/>
  <c r="A17" i="37"/>
  <c r="R17" i="37" s="1"/>
  <c r="P16" i="37"/>
  <c r="Q16" i="37" s="1"/>
  <c r="O16" i="37"/>
  <c r="N16" i="37"/>
  <c r="M16" i="37"/>
  <c r="H16" i="37"/>
  <c r="F16" i="37"/>
  <c r="E16" i="37"/>
  <c r="D16" i="37"/>
  <c r="C16" i="37"/>
  <c r="B16" i="37"/>
  <c r="A16" i="37"/>
  <c r="P15" i="37"/>
  <c r="O15" i="37"/>
  <c r="N15" i="37"/>
  <c r="M15" i="37"/>
  <c r="H15" i="37"/>
  <c r="F15" i="37"/>
  <c r="E15" i="37"/>
  <c r="D15" i="37"/>
  <c r="C15" i="37"/>
  <c r="B15" i="37"/>
  <c r="A15" i="37"/>
  <c r="R15" i="37" s="1"/>
  <c r="P14" i="37"/>
  <c r="O14" i="37"/>
  <c r="N14" i="37"/>
  <c r="M14" i="37"/>
  <c r="H14" i="37"/>
  <c r="F14" i="37"/>
  <c r="E14" i="37"/>
  <c r="D14" i="37"/>
  <c r="C14" i="37"/>
  <c r="B14" i="37"/>
  <c r="A14" i="37"/>
  <c r="R14" i="37" s="1"/>
  <c r="P13" i="37"/>
  <c r="O13" i="37"/>
  <c r="N13" i="37"/>
  <c r="M13" i="37"/>
  <c r="H13" i="37"/>
  <c r="F13" i="37"/>
  <c r="E13" i="37"/>
  <c r="D13" i="37"/>
  <c r="C13" i="37"/>
  <c r="B13" i="37"/>
  <c r="A13" i="37"/>
  <c r="P12" i="37"/>
  <c r="O12" i="37"/>
  <c r="N12" i="37"/>
  <c r="M12" i="37"/>
  <c r="Q12" i="37" s="1"/>
  <c r="H12" i="37"/>
  <c r="F12" i="37"/>
  <c r="E12" i="37"/>
  <c r="D12" i="37"/>
  <c r="C12" i="37"/>
  <c r="B12" i="37"/>
  <c r="A12" i="37"/>
  <c r="R12" i="37" s="1"/>
  <c r="P11" i="37"/>
  <c r="O11" i="37"/>
  <c r="N11" i="37"/>
  <c r="M11" i="37"/>
  <c r="H11" i="37"/>
  <c r="F11" i="37"/>
  <c r="E11" i="37"/>
  <c r="D11" i="37"/>
  <c r="C11" i="37"/>
  <c r="B11" i="37"/>
  <c r="A11" i="37"/>
  <c r="P10" i="37"/>
  <c r="O10" i="37"/>
  <c r="N10" i="37"/>
  <c r="M10" i="37"/>
  <c r="H10" i="37"/>
  <c r="F10" i="37"/>
  <c r="E10" i="37"/>
  <c r="D10" i="37"/>
  <c r="C10" i="37"/>
  <c r="B10" i="37"/>
  <c r="A10" i="37"/>
  <c r="R10" i="37" s="1"/>
  <c r="P9" i="37"/>
  <c r="O9" i="37"/>
  <c r="N9" i="37"/>
  <c r="M9" i="37"/>
  <c r="H9" i="37"/>
  <c r="F9" i="37"/>
  <c r="E9" i="37"/>
  <c r="D9" i="37"/>
  <c r="C9" i="37"/>
  <c r="B9" i="37"/>
  <c r="A9" i="37"/>
  <c r="R9" i="37" s="1"/>
  <c r="P8" i="37"/>
  <c r="Q8" i="37" s="1"/>
  <c r="O8" i="37"/>
  <c r="N8" i="37"/>
  <c r="M8" i="37"/>
  <c r="H8" i="37"/>
  <c r="F8" i="37"/>
  <c r="E8" i="37"/>
  <c r="D8" i="37"/>
  <c r="C8" i="37"/>
  <c r="B8" i="37"/>
  <c r="A8" i="37"/>
  <c r="R78" i="37"/>
  <c r="R76" i="37"/>
  <c r="R75" i="37"/>
  <c r="R73" i="37"/>
  <c r="R70" i="37"/>
  <c r="R59" i="37"/>
  <c r="R58" i="37"/>
  <c r="R42" i="37"/>
  <c r="R34" i="37"/>
  <c r="R21" i="37"/>
  <c r="R19" i="37"/>
  <c r="R16" i="37"/>
  <c r="R13" i="37"/>
  <c r="R11" i="37"/>
  <c r="R8" i="37"/>
  <c r="X75" i="35"/>
  <c r="W75" i="35"/>
  <c r="P75" i="35"/>
  <c r="O75" i="35"/>
  <c r="N75" i="35"/>
  <c r="M75" i="35"/>
  <c r="H75" i="35"/>
  <c r="F75" i="35"/>
  <c r="E75" i="35"/>
  <c r="D75" i="35"/>
  <c r="C75" i="35"/>
  <c r="B75" i="35"/>
  <c r="A75" i="35"/>
  <c r="R75" i="35" s="1"/>
  <c r="X74" i="35"/>
  <c r="W74" i="35"/>
  <c r="P74" i="35"/>
  <c r="O74" i="35"/>
  <c r="N74" i="35"/>
  <c r="M74" i="35"/>
  <c r="H74" i="35"/>
  <c r="F74" i="35"/>
  <c r="E74" i="35"/>
  <c r="D74" i="35"/>
  <c r="C74" i="35"/>
  <c r="B74" i="35"/>
  <c r="A74" i="35"/>
  <c r="R74" i="35" s="1"/>
  <c r="X73" i="35"/>
  <c r="W73" i="35"/>
  <c r="P73" i="35"/>
  <c r="O73" i="35"/>
  <c r="N73" i="35"/>
  <c r="M73" i="35"/>
  <c r="H73" i="35"/>
  <c r="F73" i="35"/>
  <c r="E73" i="35"/>
  <c r="D73" i="35"/>
  <c r="C73" i="35"/>
  <c r="B73" i="35"/>
  <c r="A73" i="35"/>
  <c r="R73" i="35" s="1"/>
  <c r="X72" i="35"/>
  <c r="W72" i="35"/>
  <c r="P72" i="35"/>
  <c r="O72" i="35"/>
  <c r="N72" i="35"/>
  <c r="M72" i="35"/>
  <c r="H72" i="35"/>
  <c r="F72" i="35"/>
  <c r="E72" i="35"/>
  <c r="D72" i="35"/>
  <c r="C72" i="35"/>
  <c r="B72" i="35"/>
  <c r="A72" i="35"/>
  <c r="R72" i="35" s="1"/>
  <c r="X71" i="35"/>
  <c r="W71" i="35"/>
  <c r="P71" i="35"/>
  <c r="O71" i="35"/>
  <c r="N71" i="35"/>
  <c r="M71" i="35"/>
  <c r="H71" i="35"/>
  <c r="F71" i="35"/>
  <c r="E71" i="35"/>
  <c r="D71" i="35"/>
  <c r="C71" i="35"/>
  <c r="B71" i="35"/>
  <c r="A71" i="35"/>
  <c r="R71" i="35" s="1"/>
  <c r="X70" i="35"/>
  <c r="W70" i="35"/>
  <c r="P70" i="35"/>
  <c r="O70" i="35"/>
  <c r="N70" i="35"/>
  <c r="M70" i="35"/>
  <c r="H70" i="35"/>
  <c r="F70" i="35"/>
  <c r="E70" i="35"/>
  <c r="D70" i="35"/>
  <c r="C70" i="35"/>
  <c r="B70" i="35"/>
  <c r="A70" i="35"/>
  <c r="R70" i="35" s="1"/>
  <c r="X69" i="35"/>
  <c r="W69" i="35"/>
  <c r="P69" i="35"/>
  <c r="O69" i="35"/>
  <c r="N69" i="35"/>
  <c r="M69" i="35"/>
  <c r="H69" i="35"/>
  <c r="F69" i="35"/>
  <c r="E69" i="35"/>
  <c r="D69" i="35"/>
  <c r="C69" i="35"/>
  <c r="B69" i="35"/>
  <c r="A69" i="35"/>
  <c r="R69" i="35" s="1"/>
  <c r="X68" i="35"/>
  <c r="W68" i="35"/>
  <c r="P68" i="35"/>
  <c r="O68" i="35"/>
  <c r="N68" i="35"/>
  <c r="M68" i="35"/>
  <c r="H68" i="35"/>
  <c r="F68" i="35"/>
  <c r="E68" i="35"/>
  <c r="D68" i="35"/>
  <c r="C68" i="35"/>
  <c r="B68" i="35"/>
  <c r="A68" i="35"/>
  <c r="R68" i="35" s="1"/>
  <c r="X67" i="35"/>
  <c r="W67" i="35"/>
  <c r="P67" i="35"/>
  <c r="O67" i="35"/>
  <c r="N67" i="35"/>
  <c r="M67" i="35"/>
  <c r="H67" i="35"/>
  <c r="F67" i="35"/>
  <c r="E67" i="35"/>
  <c r="D67" i="35"/>
  <c r="C67" i="35"/>
  <c r="B67" i="35"/>
  <c r="A67" i="35"/>
  <c r="R67" i="35" s="1"/>
  <c r="X66" i="35"/>
  <c r="W66" i="35"/>
  <c r="P66" i="35"/>
  <c r="O66" i="35"/>
  <c r="N66" i="35"/>
  <c r="M66" i="35"/>
  <c r="H66" i="35"/>
  <c r="F66" i="35"/>
  <c r="E66" i="35"/>
  <c r="D66" i="35"/>
  <c r="C66" i="35"/>
  <c r="B66" i="35"/>
  <c r="A66" i="35"/>
  <c r="R66" i="35" s="1"/>
  <c r="X65" i="35"/>
  <c r="W65" i="35"/>
  <c r="P65" i="35"/>
  <c r="O65" i="35"/>
  <c r="N65" i="35"/>
  <c r="M65" i="35"/>
  <c r="H65" i="35"/>
  <c r="F65" i="35"/>
  <c r="E65" i="35"/>
  <c r="D65" i="35"/>
  <c r="C65" i="35"/>
  <c r="B65" i="35"/>
  <c r="A65" i="35"/>
  <c r="R65" i="35" s="1"/>
  <c r="X64" i="35"/>
  <c r="W64" i="35"/>
  <c r="P64" i="35"/>
  <c r="O64" i="35"/>
  <c r="N64" i="35"/>
  <c r="M64" i="35"/>
  <c r="H64" i="35"/>
  <c r="F64" i="35"/>
  <c r="E64" i="35"/>
  <c r="D64" i="35"/>
  <c r="C64" i="35"/>
  <c r="B64" i="35"/>
  <c r="A64" i="35"/>
  <c r="R64" i="35" s="1"/>
  <c r="X55" i="35"/>
  <c r="W55" i="35"/>
  <c r="P55" i="35"/>
  <c r="O55" i="35"/>
  <c r="N55" i="35"/>
  <c r="M55" i="35"/>
  <c r="H55" i="35"/>
  <c r="G55" i="35"/>
  <c r="F55" i="35"/>
  <c r="E55" i="35"/>
  <c r="D55" i="35"/>
  <c r="C55" i="35"/>
  <c r="B55" i="35"/>
  <c r="A55" i="35"/>
  <c r="R55" i="35" s="1"/>
  <c r="X54" i="35"/>
  <c r="W54" i="35"/>
  <c r="P54" i="35"/>
  <c r="O54" i="35"/>
  <c r="N54" i="35"/>
  <c r="M54" i="35"/>
  <c r="H54" i="35"/>
  <c r="G54" i="35"/>
  <c r="F54" i="35"/>
  <c r="E54" i="35"/>
  <c r="D54" i="35"/>
  <c r="C54" i="35"/>
  <c r="B54" i="35"/>
  <c r="A54" i="35"/>
  <c r="R54" i="35" s="1"/>
  <c r="X44" i="35"/>
  <c r="W44" i="35"/>
  <c r="P44" i="35"/>
  <c r="O44" i="35"/>
  <c r="N44" i="35"/>
  <c r="M44" i="35"/>
  <c r="G44" i="35"/>
  <c r="F44" i="35"/>
  <c r="E44" i="35"/>
  <c r="D44" i="35"/>
  <c r="C44" i="35"/>
  <c r="B44" i="35"/>
  <c r="A44" i="35"/>
  <c r="R44" i="35" s="1"/>
  <c r="X43" i="35"/>
  <c r="W43" i="35"/>
  <c r="P43" i="35"/>
  <c r="O43" i="35"/>
  <c r="N43" i="35"/>
  <c r="M43" i="35"/>
  <c r="G43" i="35"/>
  <c r="F43" i="35"/>
  <c r="E43" i="35"/>
  <c r="D43" i="35"/>
  <c r="C43" i="35"/>
  <c r="B43" i="35"/>
  <c r="A43" i="35"/>
  <c r="R43" i="35" s="1"/>
  <c r="X42" i="35"/>
  <c r="W42" i="35"/>
  <c r="P42" i="35"/>
  <c r="O42" i="35"/>
  <c r="N42" i="35"/>
  <c r="M42" i="35"/>
  <c r="G42" i="35"/>
  <c r="F42" i="35"/>
  <c r="E42" i="35"/>
  <c r="D42" i="35"/>
  <c r="C42" i="35"/>
  <c r="B42" i="35"/>
  <c r="A42" i="35"/>
  <c r="R42" i="35" s="1"/>
  <c r="X41" i="35"/>
  <c r="W41" i="35"/>
  <c r="P41" i="35"/>
  <c r="O41" i="35"/>
  <c r="N41" i="35"/>
  <c r="M41" i="35"/>
  <c r="G41" i="35"/>
  <c r="F41" i="35"/>
  <c r="E41" i="35"/>
  <c r="D41" i="35"/>
  <c r="C41" i="35"/>
  <c r="B41" i="35"/>
  <c r="A41" i="35"/>
  <c r="R41" i="35" s="1"/>
  <c r="X40" i="35"/>
  <c r="W40" i="35"/>
  <c r="P40" i="35"/>
  <c r="O40" i="35"/>
  <c r="N40" i="35"/>
  <c r="M40" i="35"/>
  <c r="G40" i="35"/>
  <c r="F40" i="35"/>
  <c r="E40" i="35"/>
  <c r="D40" i="35"/>
  <c r="C40" i="35"/>
  <c r="B40" i="35"/>
  <c r="A40" i="35"/>
  <c r="R40" i="35" s="1"/>
  <c r="X39" i="35"/>
  <c r="W39" i="35"/>
  <c r="P39" i="35"/>
  <c r="O39" i="35"/>
  <c r="N39" i="35"/>
  <c r="M39" i="35"/>
  <c r="G39" i="35"/>
  <c r="F39" i="35"/>
  <c r="E39" i="35"/>
  <c r="D39" i="35"/>
  <c r="C39" i="35"/>
  <c r="B39" i="35"/>
  <c r="A39" i="35"/>
  <c r="R39" i="35" s="1"/>
  <c r="X38" i="35"/>
  <c r="W38" i="35"/>
  <c r="P38" i="35"/>
  <c r="O38" i="35"/>
  <c r="N38" i="35"/>
  <c r="M38" i="35"/>
  <c r="G38" i="35"/>
  <c r="F38" i="35"/>
  <c r="E38" i="35"/>
  <c r="D38" i="35"/>
  <c r="C38" i="35"/>
  <c r="B38" i="35"/>
  <c r="A38" i="35"/>
  <c r="R38" i="35" s="1"/>
  <c r="X37" i="35"/>
  <c r="W37" i="35"/>
  <c r="P37" i="35"/>
  <c r="O37" i="35"/>
  <c r="N37" i="35"/>
  <c r="M37" i="35"/>
  <c r="G37" i="35"/>
  <c r="F37" i="35"/>
  <c r="E37" i="35"/>
  <c r="D37" i="35"/>
  <c r="C37" i="35"/>
  <c r="B37" i="35"/>
  <c r="A37" i="35"/>
  <c r="R37" i="35" s="1"/>
  <c r="X36" i="35"/>
  <c r="W36" i="35"/>
  <c r="P36" i="35"/>
  <c r="O36" i="35"/>
  <c r="N36" i="35"/>
  <c r="M36" i="35"/>
  <c r="G36" i="35"/>
  <c r="F36" i="35"/>
  <c r="E36" i="35"/>
  <c r="D36" i="35"/>
  <c r="C36" i="35"/>
  <c r="B36" i="35"/>
  <c r="A36" i="35"/>
  <c r="R36" i="35" s="1"/>
  <c r="X35" i="35"/>
  <c r="W35" i="35"/>
  <c r="P35" i="35"/>
  <c r="O35" i="35"/>
  <c r="N35" i="35"/>
  <c r="M35" i="35"/>
  <c r="G35" i="35"/>
  <c r="F35" i="35"/>
  <c r="E35" i="35"/>
  <c r="D35" i="35"/>
  <c r="C35" i="35"/>
  <c r="B35" i="35"/>
  <c r="A35" i="35"/>
  <c r="R35" i="35" s="1"/>
  <c r="X34" i="35"/>
  <c r="W34" i="35"/>
  <c r="P34" i="35"/>
  <c r="O34" i="35"/>
  <c r="N34" i="35"/>
  <c r="M34" i="35"/>
  <c r="G34" i="35"/>
  <c r="F34" i="35"/>
  <c r="E34" i="35"/>
  <c r="D34" i="35"/>
  <c r="C34" i="35"/>
  <c r="B34" i="35"/>
  <c r="A34" i="35"/>
  <c r="R34" i="35" s="1"/>
  <c r="X33" i="35"/>
  <c r="W33" i="35"/>
  <c r="P33" i="35"/>
  <c r="O33" i="35"/>
  <c r="N33" i="35"/>
  <c r="M33" i="35"/>
  <c r="G33" i="35"/>
  <c r="F33" i="35"/>
  <c r="E33" i="35"/>
  <c r="D33" i="35"/>
  <c r="C33" i="35"/>
  <c r="B33" i="35"/>
  <c r="A33" i="35"/>
  <c r="R33" i="35" s="1"/>
  <c r="X32" i="35"/>
  <c r="W32" i="35"/>
  <c r="P32" i="35"/>
  <c r="O32" i="35"/>
  <c r="N32" i="35"/>
  <c r="M32" i="35"/>
  <c r="H32" i="35"/>
  <c r="G32" i="35"/>
  <c r="F32" i="35"/>
  <c r="E32" i="35"/>
  <c r="D32" i="35"/>
  <c r="C32" i="35"/>
  <c r="B32" i="35"/>
  <c r="A32" i="35"/>
  <c r="R32" i="35" s="1"/>
  <c r="X31" i="35"/>
  <c r="W31" i="35"/>
  <c r="P31" i="35"/>
  <c r="O31" i="35"/>
  <c r="N31" i="35"/>
  <c r="M31" i="35"/>
  <c r="G31" i="35"/>
  <c r="F31" i="35"/>
  <c r="E31" i="35"/>
  <c r="D31" i="35"/>
  <c r="C31" i="35"/>
  <c r="B31" i="35"/>
  <c r="A31" i="35"/>
  <c r="R31" i="35" s="1"/>
  <c r="X22" i="35"/>
  <c r="W22" i="35"/>
  <c r="P22" i="35"/>
  <c r="O22" i="35"/>
  <c r="N22" i="35"/>
  <c r="M22" i="35"/>
  <c r="H22" i="35"/>
  <c r="F22" i="35"/>
  <c r="E22" i="35"/>
  <c r="D22" i="35"/>
  <c r="C22" i="35"/>
  <c r="B22" i="35"/>
  <c r="A22" i="35"/>
  <c r="R22" i="35" s="1"/>
  <c r="X21" i="35"/>
  <c r="W21" i="35"/>
  <c r="P21" i="35"/>
  <c r="O21" i="35"/>
  <c r="N21" i="35"/>
  <c r="M21" i="35"/>
  <c r="H21" i="35"/>
  <c r="F21" i="35"/>
  <c r="E21" i="35"/>
  <c r="D21" i="35"/>
  <c r="C21" i="35"/>
  <c r="B21" i="35"/>
  <c r="A21" i="35"/>
  <c r="R21" i="35" s="1"/>
  <c r="X20" i="35"/>
  <c r="W20" i="35"/>
  <c r="P20" i="35"/>
  <c r="O20" i="35"/>
  <c r="N20" i="35"/>
  <c r="M20" i="35"/>
  <c r="H20" i="35"/>
  <c r="F20" i="35"/>
  <c r="E20" i="35"/>
  <c r="D20" i="35"/>
  <c r="C20" i="35"/>
  <c r="B20" i="35"/>
  <c r="A20" i="35"/>
  <c r="R20" i="35" s="1"/>
  <c r="X19" i="35"/>
  <c r="W19" i="35"/>
  <c r="P19" i="35"/>
  <c r="O19" i="35"/>
  <c r="N19" i="35"/>
  <c r="M19" i="35"/>
  <c r="H19" i="35"/>
  <c r="F19" i="35"/>
  <c r="E19" i="35"/>
  <c r="D19" i="35"/>
  <c r="C19" i="35"/>
  <c r="B19" i="35"/>
  <c r="A19" i="35"/>
  <c r="R19" i="35" s="1"/>
  <c r="X18" i="35"/>
  <c r="W18" i="35"/>
  <c r="P18" i="35"/>
  <c r="O18" i="35"/>
  <c r="N18" i="35"/>
  <c r="M18" i="35"/>
  <c r="H18" i="35"/>
  <c r="F18" i="35"/>
  <c r="E18" i="35"/>
  <c r="D18" i="35"/>
  <c r="C18" i="35"/>
  <c r="B18" i="35"/>
  <c r="A18" i="35"/>
  <c r="R18" i="35" s="1"/>
  <c r="X17" i="35"/>
  <c r="W17" i="35"/>
  <c r="P17" i="35"/>
  <c r="O17" i="35"/>
  <c r="N17" i="35"/>
  <c r="M17" i="35"/>
  <c r="H17" i="35"/>
  <c r="F17" i="35"/>
  <c r="E17" i="35"/>
  <c r="D17" i="35"/>
  <c r="C17" i="35"/>
  <c r="B17" i="35"/>
  <c r="A17" i="35"/>
  <c r="R17" i="35" s="1"/>
  <c r="X16" i="35"/>
  <c r="W16" i="35"/>
  <c r="P16" i="35"/>
  <c r="O16" i="35"/>
  <c r="N16" i="35"/>
  <c r="M16" i="35"/>
  <c r="H16" i="35"/>
  <c r="F16" i="35"/>
  <c r="E16" i="35"/>
  <c r="D16" i="35"/>
  <c r="C16" i="35"/>
  <c r="B16" i="35"/>
  <c r="A16" i="35"/>
  <c r="R16" i="35" s="1"/>
  <c r="X15" i="35"/>
  <c r="W15" i="35"/>
  <c r="P15" i="35"/>
  <c r="O15" i="35"/>
  <c r="N15" i="35"/>
  <c r="M15" i="35"/>
  <c r="H15" i="35"/>
  <c r="F15" i="35"/>
  <c r="E15" i="35"/>
  <c r="D15" i="35"/>
  <c r="C15" i="35"/>
  <c r="B15" i="35"/>
  <c r="A15" i="35"/>
  <c r="R15" i="35" s="1"/>
  <c r="X14" i="35"/>
  <c r="W14" i="35"/>
  <c r="P14" i="35"/>
  <c r="O14" i="35"/>
  <c r="N14" i="35"/>
  <c r="M14" i="35"/>
  <c r="H14" i="35"/>
  <c r="F14" i="35"/>
  <c r="E14" i="35"/>
  <c r="D14" i="35"/>
  <c r="C14" i="35"/>
  <c r="B14" i="35"/>
  <c r="A14" i="35"/>
  <c r="R14" i="35" s="1"/>
  <c r="X13" i="35"/>
  <c r="W13" i="35"/>
  <c r="P13" i="35"/>
  <c r="O13" i="35"/>
  <c r="N13" i="35"/>
  <c r="M13" i="35"/>
  <c r="H13" i="35"/>
  <c r="F13" i="35"/>
  <c r="E13" i="35"/>
  <c r="D13" i="35"/>
  <c r="C13" i="35"/>
  <c r="B13" i="35"/>
  <c r="A13" i="35"/>
  <c r="R13" i="35" s="1"/>
  <c r="X12" i="35"/>
  <c r="W12" i="35"/>
  <c r="P12" i="35"/>
  <c r="O12" i="35"/>
  <c r="N12" i="35"/>
  <c r="M12" i="35"/>
  <c r="H12" i="35"/>
  <c r="F12" i="35"/>
  <c r="E12" i="35"/>
  <c r="D12" i="35"/>
  <c r="C12" i="35"/>
  <c r="B12" i="35"/>
  <c r="A12" i="35"/>
  <c r="R12" i="35" s="1"/>
  <c r="X11" i="35"/>
  <c r="W11" i="35"/>
  <c r="P11" i="35"/>
  <c r="O11" i="35"/>
  <c r="N11" i="35"/>
  <c r="M11" i="35"/>
  <c r="H11" i="35"/>
  <c r="F11" i="35"/>
  <c r="E11" i="35"/>
  <c r="D11" i="35"/>
  <c r="C11" i="35"/>
  <c r="B11" i="35"/>
  <c r="A11" i="35"/>
  <c r="R11" i="35" s="1"/>
  <c r="X10" i="35"/>
  <c r="W10" i="35"/>
  <c r="P10" i="35"/>
  <c r="O10" i="35"/>
  <c r="N10" i="35"/>
  <c r="M10" i="35"/>
  <c r="H10" i="35"/>
  <c r="F10" i="35"/>
  <c r="E10" i="35"/>
  <c r="D10" i="35"/>
  <c r="C10" i="35"/>
  <c r="B10" i="35"/>
  <c r="A10" i="35"/>
  <c r="R10" i="35" s="1"/>
  <c r="X9" i="35"/>
  <c r="W9" i="35"/>
  <c r="P9" i="35"/>
  <c r="O9" i="35"/>
  <c r="N9" i="35"/>
  <c r="M9" i="35"/>
  <c r="H9" i="35"/>
  <c r="F9" i="35"/>
  <c r="E9" i="35"/>
  <c r="D9" i="35"/>
  <c r="C9" i="35"/>
  <c r="B9" i="35"/>
  <c r="A9" i="35"/>
  <c r="R9" i="35" s="1"/>
  <c r="X8" i="35"/>
  <c r="W8" i="35"/>
  <c r="P8" i="35"/>
  <c r="O8" i="35"/>
  <c r="N8" i="35"/>
  <c r="M8" i="35"/>
  <c r="H8" i="35"/>
  <c r="F8" i="35"/>
  <c r="E8" i="35"/>
  <c r="D8" i="35"/>
  <c r="C8" i="35"/>
  <c r="B8" i="35"/>
  <c r="A8" i="35"/>
  <c r="R8" i="35" s="1"/>
  <c r="T95" i="33"/>
  <c r="T57" i="33"/>
  <c r="T56" i="33"/>
  <c r="T58" i="33"/>
  <c r="T59" i="33"/>
  <c r="T60" i="33"/>
  <c r="T61" i="33"/>
  <c r="T55" i="33"/>
  <c r="T25" i="33"/>
  <c r="V25" i="33" s="1"/>
  <c r="T26" i="33"/>
  <c r="J83" i="39" l="1"/>
  <c r="K83" i="39"/>
  <c r="L83" i="39" s="1"/>
  <c r="S83" i="39"/>
  <c r="U83" i="39" s="1"/>
  <c r="J25" i="39"/>
  <c r="K25" i="39"/>
  <c r="L25" i="39" s="1"/>
  <c r="K24" i="39"/>
  <c r="L24" i="39" s="1"/>
  <c r="Q17" i="39"/>
  <c r="Q69" i="39"/>
  <c r="I10" i="39"/>
  <c r="K10" i="39" s="1"/>
  <c r="L10" i="39" s="1"/>
  <c r="Q11" i="39"/>
  <c r="I18" i="39"/>
  <c r="K18" i="39" s="1"/>
  <c r="L18" i="39" s="1"/>
  <c r="Q19" i="39"/>
  <c r="Q12" i="39"/>
  <c r="Q20" i="39"/>
  <c r="Q9" i="39"/>
  <c r="Q42" i="39"/>
  <c r="Q77" i="39"/>
  <c r="I35" i="39"/>
  <c r="J35" i="39" s="1"/>
  <c r="I40" i="39"/>
  <c r="K40" i="39" s="1"/>
  <c r="L40" i="39" s="1"/>
  <c r="Q41" i="39"/>
  <c r="Q60" i="39"/>
  <c r="Q21" i="39"/>
  <c r="Q36" i="39"/>
  <c r="I43" i="39"/>
  <c r="J43" i="39" s="1"/>
  <c r="Q44" i="39"/>
  <c r="I23" i="39"/>
  <c r="K23" i="39" s="1"/>
  <c r="L23" i="39" s="1"/>
  <c r="Q34" i="39"/>
  <c r="Q39" i="39"/>
  <c r="Q47" i="39"/>
  <c r="Q74" i="39"/>
  <c r="Q82" i="39"/>
  <c r="I13" i="39"/>
  <c r="K13" i="39" s="1"/>
  <c r="L13" i="39" s="1"/>
  <c r="Q14" i="39"/>
  <c r="I19" i="39"/>
  <c r="J19" i="39" s="1"/>
  <c r="Q80" i="39"/>
  <c r="I81" i="39"/>
  <c r="K81" i="39" s="1"/>
  <c r="L81" i="39" s="1"/>
  <c r="I11" i="39"/>
  <c r="J11" i="39" s="1"/>
  <c r="I48" i="39"/>
  <c r="K48" i="39" s="1"/>
  <c r="L48" i="39" s="1"/>
  <c r="Q49" i="39"/>
  <c r="I75" i="39"/>
  <c r="K75" i="39" s="1"/>
  <c r="L75" i="39" s="1"/>
  <c r="Q76" i="39"/>
  <c r="Q16" i="39"/>
  <c r="Q15" i="39"/>
  <c r="I17" i="39"/>
  <c r="K17" i="39" s="1"/>
  <c r="L17" i="39" s="1"/>
  <c r="I21" i="39"/>
  <c r="K21" i="39" s="1"/>
  <c r="L21" i="39" s="1"/>
  <c r="Q22" i="39"/>
  <c r="Q37" i="39"/>
  <c r="I39" i="39"/>
  <c r="K39" i="39" s="1"/>
  <c r="L39" i="39" s="1"/>
  <c r="I41" i="39"/>
  <c r="K41" i="39" s="1"/>
  <c r="L41" i="39" s="1"/>
  <c r="Q45" i="39"/>
  <c r="I49" i="39"/>
  <c r="K49" i="39" s="1"/>
  <c r="L49" i="39" s="1"/>
  <c r="Q59" i="39"/>
  <c r="Q72" i="39"/>
  <c r="I76" i="39"/>
  <c r="K76" i="39" s="1"/>
  <c r="L76" i="39" s="1"/>
  <c r="I9" i="39"/>
  <c r="J9" i="39" s="1"/>
  <c r="I12" i="39"/>
  <c r="K12" i="39" s="1"/>
  <c r="L12" i="39" s="1"/>
  <c r="I22" i="39"/>
  <c r="J22" i="39" s="1"/>
  <c r="Q23" i="39"/>
  <c r="I34" i="39"/>
  <c r="J34" i="39" s="1"/>
  <c r="I37" i="39"/>
  <c r="K37" i="39" s="1"/>
  <c r="L37" i="39" s="1"/>
  <c r="Q38" i="39"/>
  <c r="I42" i="39"/>
  <c r="K42" i="39" s="1"/>
  <c r="I45" i="39"/>
  <c r="K45" i="39" s="1"/>
  <c r="L45" i="39" s="1"/>
  <c r="Q46" i="39"/>
  <c r="I47" i="39"/>
  <c r="J47" i="39" s="1"/>
  <c r="I59" i="39"/>
  <c r="K59" i="39" s="1"/>
  <c r="L59" i="39" s="1"/>
  <c r="I72" i="39"/>
  <c r="K72" i="39" s="1"/>
  <c r="L72" i="39" s="1"/>
  <c r="Q73" i="39"/>
  <c r="I74" i="39"/>
  <c r="K74" i="39" s="1"/>
  <c r="L74" i="39" s="1"/>
  <c r="Q75" i="39"/>
  <c r="I80" i="39"/>
  <c r="K80" i="39" s="1"/>
  <c r="L80" i="39" s="1"/>
  <c r="Q81" i="39"/>
  <c r="I82" i="39"/>
  <c r="J82" i="39" s="1"/>
  <c r="I70" i="39"/>
  <c r="K70" i="39" s="1"/>
  <c r="L70" i="39" s="1"/>
  <c r="Q71" i="39"/>
  <c r="Q8" i="39"/>
  <c r="I15" i="39"/>
  <c r="K15" i="39" s="1"/>
  <c r="L15" i="39" s="1"/>
  <c r="Q10" i="39"/>
  <c r="Q13" i="39"/>
  <c r="I14" i="39"/>
  <c r="K14" i="39" s="1"/>
  <c r="L14" i="39" s="1"/>
  <c r="Q18" i="39"/>
  <c r="I20" i="39"/>
  <c r="J20" i="39" s="1"/>
  <c r="Q35" i="39"/>
  <c r="I36" i="39"/>
  <c r="K36" i="39" s="1"/>
  <c r="L36" i="39" s="1"/>
  <c r="Q40" i="39"/>
  <c r="Q43" i="39"/>
  <c r="I44" i="39"/>
  <c r="J44" i="39" s="1"/>
  <c r="Q48" i="39"/>
  <c r="I69" i="39"/>
  <c r="K69" i="39" s="1"/>
  <c r="L69" i="39" s="1"/>
  <c r="Q70" i="39"/>
  <c r="I71" i="39"/>
  <c r="J71" i="39" s="1"/>
  <c r="I77" i="39"/>
  <c r="K77" i="39" s="1"/>
  <c r="Q78" i="39"/>
  <c r="I79" i="39"/>
  <c r="J79" i="39" s="1"/>
  <c r="I78" i="39"/>
  <c r="K78" i="39" s="1"/>
  <c r="L78" i="39" s="1"/>
  <c r="Q79" i="39"/>
  <c r="I16" i="39"/>
  <c r="K16" i="39" s="1"/>
  <c r="L16" i="39" s="1"/>
  <c r="I60" i="39"/>
  <c r="K60" i="39" s="1"/>
  <c r="L60" i="39" s="1"/>
  <c r="I73" i="39"/>
  <c r="K73" i="39" s="1"/>
  <c r="I38" i="39"/>
  <c r="J38" i="39" s="1"/>
  <c r="I8" i="39"/>
  <c r="K8" i="39" s="1"/>
  <c r="I46" i="39"/>
  <c r="K46" i="39" s="1"/>
  <c r="J75" i="39"/>
  <c r="K48" i="37"/>
  <c r="L48" i="37" s="1"/>
  <c r="J48" i="37"/>
  <c r="I13" i="37"/>
  <c r="J13" i="37" s="1"/>
  <c r="Q14" i="37"/>
  <c r="I21" i="37"/>
  <c r="K21" i="37" s="1"/>
  <c r="L21" i="37" s="1"/>
  <c r="Q22" i="37"/>
  <c r="I36" i="37"/>
  <c r="K36" i="37" s="1"/>
  <c r="L36" i="37" s="1"/>
  <c r="I44" i="37"/>
  <c r="Q40" i="37"/>
  <c r="Q20" i="37"/>
  <c r="Q35" i="37"/>
  <c r="Q43" i="37"/>
  <c r="I24" i="37"/>
  <c r="K24" i="37" s="1"/>
  <c r="L24" i="37" s="1"/>
  <c r="Q23" i="37"/>
  <c r="I80" i="37"/>
  <c r="J80" i="37" s="1"/>
  <c r="Q73" i="37"/>
  <c r="I15" i="37"/>
  <c r="I33" i="37"/>
  <c r="Q24" i="37"/>
  <c r="I23" i="37"/>
  <c r="Q11" i="37"/>
  <c r="Q19" i="37"/>
  <c r="Q70" i="37"/>
  <c r="Q78" i="37"/>
  <c r="I81" i="37"/>
  <c r="K81" i="37"/>
  <c r="L81" i="37" s="1"/>
  <c r="J81" i="37"/>
  <c r="S48" i="37"/>
  <c r="U48" i="37" s="1"/>
  <c r="T48" i="37"/>
  <c r="V48" i="37" s="1"/>
  <c r="K47" i="37"/>
  <c r="L47" i="37" s="1"/>
  <c r="J24" i="37"/>
  <c r="J23" i="37"/>
  <c r="K23" i="37"/>
  <c r="L23" i="37" s="1"/>
  <c r="S23" i="37"/>
  <c r="Q76" i="37"/>
  <c r="I16" i="37"/>
  <c r="I19" i="37"/>
  <c r="Q21" i="37"/>
  <c r="I35" i="37"/>
  <c r="J35" i="37" s="1"/>
  <c r="I8" i="37"/>
  <c r="Q10" i="37"/>
  <c r="Q13" i="37"/>
  <c r="Q15" i="37"/>
  <c r="I22" i="37"/>
  <c r="K22" i="37" s="1"/>
  <c r="L22" i="37" s="1"/>
  <c r="Q33" i="37"/>
  <c r="I34" i="37"/>
  <c r="Q34" i="37"/>
  <c r="I38" i="37"/>
  <c r="J38" i="37" s="1"/>
  <c r="Q42" i="37"/>
  <c r="I46" i="37"/>
  <c r="J46" i="37" s="1"/>
  <c r="Q59" i="37"/>
  <c r="I71" i="37"/>
  <c r="Q75" i="37"/>
  <c r="I79" i="37"/>
  <c r="K79" i="37" s="1"/>
  <c r="L79" i="37" s="1"/>
  <c r="Q9" i="37"/>
  <c r="I10" i="37"/>
  <c r="K10" i="37" s="1"/>
  <c r="L10" i="37" s="1"/>
  <c r="Q17" i="37"/>
  <c r="I18" i="37"/>
  <c r="J18" i="37" s="1"/>
  <c r="I20" i="37"/>
  <c r="J20" i="37" s="1"/>
  <c r="I74" i="37"/>
  <c r="I11" i="37"/>
  <c r="J11" i="37" s="1"/>
  <c r="I17" i="37"/>
  <c r="J17" i="37" s="1"/>
  <c r="I14" i="37"/>
  <c r="J14" i="37" s="1"/>
  <c r="I41" i="37"/>
  <c r="I9" i="37"/>
  <c r="K9" i="37" s="1"/>
  <c r="L9" i="37" s="1"/>
  <c r="Q18" i="37"/>
  <c r="I12" i="37"/>
  <c r="K12" i="37" s="1"/>
  <c r="L12" i="37" s="1"/>
  <c r="I72" i="37"/>
  <c r="Q79" i="37"/>
  <c r="Q71" i="37"/>
  <c r="Q68" i="37"/>
  <c r="I73" i="37"/>
  <c r="J73" i="37" s="1"/>
  <c r="Q38" i="37"/>
  <c r="I39" i="37"/>
  <c r="J39" i="37" s="1"/>
  <c r="Q46" i="37"/>
  <c r="Q36" i="37"/>
  <c r="I58" i="37"/>
  <c r="J58" i="37" s="1"/>
  <c r="I69" i="37"/>
  <c r="K69" i="37" s="1"/>
  <c r="L69" i="37" s="1"/>
  <c r="I37" i="37"/>
  <c r="K37" i="37" s="1"/>
  <c r="L37" i="37" s="1"/>
  <c r="Q39" i="37"/>
  <c r="I40" i="37"/>
  <c r="J40" i="37" s="1"/>
  <c r="I42" i="37"/>
  <c r="K42" i="37" s="1"/>
  <c r="L42" i="37" s="1"/>
  <c r="I43" i="37"/>
  <c r="K43" i="37" s="1"/>
  <c r="L43" i="37" s="1"/>
  <c r="Q44" i="37"/>
  <c r="I45" i="37"/>
  <c r="K45" i="37" s="1"/>
  <c r="L45" i="37" s="1"/>
  <c r="Q58" i="37"/>
  <c r="I59" i="37"/>
  <c r="K59" i="37" s="1"/>
  <c r="L59" i="37" s="1"/>
  <c r="I68" i="37"/>
  <c r="J68" i="37" s="1"/>
  <c r="Q69" i="37"/>
  <c r="S69" i="37" s="1"/>
  <c r="U69" i="37" s="1"/>
  <c r="I70" i="37"/>
  <c r="K70" i="37" s="1"/>
  <c r="L70" i="37" s="1"/>
  <c r="Q72" i="37"/>
  <c r="Q74" i="37"/>
  <c r="I75" i="37"/>
  <c r="K75" i="37" s="1"/>
  <c r="L75" i="37" s="1"/>
  <c r="I76" i="37"/>
  <c r="K76" i="37" s="1"/>
  <c r="L76" i="37" s="1"/>
  <c r="Q77" i="37"/>
  <c r="I78" i="37"/>
  <c r="J78" i="37" s="1"/>
  <c r="J41" i="37"/>
  <c r="K41" i="37"/>
  <c r="L41" i="37" s="1"/>
  <c r="J36" i="37"/>
  <c r="K16" i="37"/>
  <c r="L16" i="37" s="1"/>
  <c r="J16" i="37"/>
  <c r="K35" i="37"/>
  <c r="L35" i="37" s="1"/>
  <c r="K8" i="37"/>
  <c r="L8" i="37" s="1"/>
  <c r="J8" i="37"/>
  <c r="K17" i="37"/>
  <c r="L17" i="37" s="1"/>
  <c r="J21" i="37"/>
  <c r="K33" i="37"/>
  <c r="L33" i="37" s="1"/>
  <c r="J33" i="37"/>
  <c r="K58" i="37"/>
  <c r="L58" i="37" s="1"/>
  <c r="K71" i="37"/>
  <c r="L71" i="37" s="1"/>
  <c r="J71" i="37"/>
  <c r="J9" i="37"/>
  <c r="K13" i="37"/>
  <c r="L13" i="37" s="1"/>
  <c r="K34" i="37"/>
  <c r="L34" i="37" s="1"/>
  <c r="J34" i="37"/>
  <c r="S71" i="37"/>
  <c r="U71" i="37" s="1"/>
  <c r="K72" i="37"/>
  <c r="L72" i="37" s="1"/>
  <c r="J72" i="37"/>
  <c r="K19" i="37"/>
  <c r="L19" i="37" s="1"/>
  <c r="J19" i="37"/>
  <c r="J77" i="37"/>
  <c r="K77" i="37"/>
  <c r="L77" i="37" s="1"/>
  <c r="K15" i="37"/>
  <c r="L15" i="37" s="1"/>
  <c r="J15" i="37"/>
  <c r="J44" i="37"/>
  <c r="K44" i="37"/>
  <c r="L44" i="37" s="1"/>
  <c r="K11" i="37"/>
  <c r="L11" i="37" s="1"/>
  <c r="J12" i="37"/>
  <c r="S22" i="37"/>
  <c r="K74" i="37"/>
  <c r="L74" i="37" s="1"/>
  <c r="J74" i="37"/>
  <c r="J22" i="37"/>
  <c r="J76" i="37"/>
  <c r="Q69" i="35"/>
  <c r="Q75" i="35"/>
  <c r="Q39" i="35"/>
  <c r="Q33" i="35"/>
  <c r="Q17" i="35"/>
  <c r="I22" i="35"/>
  <c r="J22" i="35" s="1"/>
  <c r="Q11" i="35"/>
  <c r="Q12" i="35"/>
  <c r="Q9" i="35"/>
  <c r="I10" i="35"/>
  <c r="K10" i="35" s="1"/>
  <c r="L10" i="35" s="1"/>
  <c r="I16" i="35"/>
  <c r="K16" i="35" s="1"/>
  <c r="L16" i="35" s="1"/>
  <c r="Q44" i="35"/>
  <c r="I68" i="35"/>
  <c r="K68" i="35" s="1"/>
  <c r="L68" i="35" s="1"/>
  <c r="Q74" i="35"/>
  <c r="Q35" i="35"/>
  <c r="Q54" i="35"/>
  <c r="Q73" i="35"/>
  <c r="I54" i="35"/>
  <c r="K54" i="35" s="1"/>
  <c r="L54" i="35" s="1"/>
  <c r="I75" i="35"/>
  <c r="J75" i="35" s="1"/>
  <c r="Q42" i="35"/>
  <c r="Q40" i="35"/>
  <c r="I15" i="35"/>
  <c r="K15" i="35" s="1"/>
  <c r="L15" i="35" s="1"/>
  <c r="Q10" i="35"/>
  <c r="Q14" i="35"/>
  <c r="I19" i="35"/>
  <c r="K19" i="35" s="1"/>
  <c r="L19" i="35" s="1"/>
  <c r="Q31" i="35"/>
  <c r="Q18" i="35"/>
  <c r="I32" i="35"/>
  <c r="K32" i="35" s="1"/>
  <c r="L32" i="35" s="1"/>
  <c r="I8" i="35"/>
  <c r="K8" i="35" s="1"/>
  <c r="L8" i="35" s="1"/>
  <c r="Q8" i="35"/>
  <c r="Q15" i="35"/>
  <c r="Q19" i="35"/>
  <c r="I33" i="35"/>
  <c r="K33" i="35" s="1"/>
  <c r="L33" i="35" s="1"/>
  <c r="I43" i="35"/>
  <c r="K43" i="35" s="1"/>
  <c r="L43" i="35" s="1"/>
  <c r="Q43" i="35"/>
  <c r="Q67" i="35"/>
  <c r="I69" i="35"/>
  <c r="K69" i="35" s="1"/>
  <c r="L69" i="35" s="1"/>
  <c r="I74" i="35"/>
  <c r="K74" i="35" s="1"/>
  <c r="L74" i="35" s="1"/>
  <c r="I20" i="35"/>
  <c r="K20" i="35" s="1"/>
  <c r="L20" i="35" s="1"/>
  <c r="Q32" i="35"/>
  <c r="Q34" i="35"/>
  <c r="I35" i="35"/>
  <c r="K35" i="35" s="1"/>
  <c r="L35" i="35" s="1"/>
  <c r="I37" i="35"/>
  <c r="K37" i="35" s="1"/>
  <c r="L37" i="35" s="1"/>
  <c r="I39" i="35"/>
  <c r="J39" i="35" s="1"/>
  <c r="I40" i="35"/>
  <c r="J40" i="35" s="1"/>
  <c r="I44" i="35"/>
  <c r="J44" i="35" s="1"/>
  <c r="Q71" i="35"/>
  <c r="Q16" i="35"/>
  <c r="I31" i="35"/>
  <c r="J31" i="35" s="1"/>
  <c r="I34" i="35"/>
  <c r="K34" i="35" s="1"/>
  <c r="I66" i="35"/>
  <c r="K66" i="35" s="1"/>
  <c r="L66" i="35" s="1"/>
  <c r="I18" i="35"/>
  <c r="K18" i="35" s="1"/>
  <c r="L18" i="35" s="1"/>
  <c r="I14" i="35"/>
  <c r="J14" i="35" s="1"/>
  <c r="I9" i="35"/>
  <c r="K9" i="35" s="1"/>
  <c r="L9" i="35" s="1"/>
  <c r="I13" i="35"/>
  <c r="K13" i="35" s="1"/>
  <c r="L13" i="35" s="1"/>
  <c r="I42" i="35"/>
  <c r="J42" i="35" s="1"/>
  <c r="Q55" i="35"/>
  <c r="Q66" i="35"/>
  <c r="I67" i="35"/>
  <c r="K67" i="35" s="1"/>
  <c r="L67" i="35" s="1"/>
  <c r="Q68" i="35"/>
  <c r="Q70" i="35"/>
  <c r="I73" i="35"/>
  <c r="J73" i="35" s="1"/>
  <c r="I11" i="35"/>
  <c r="K11" i="35" s="1"/>
  <c r="I55" i="35"/>
  <c r="J55" i="35" s="1"/>
  <c r="I12" i="35"/>
  <c r="J12" i="35" s="1"/>
  <c r="I17" i="35"/>
  <c r="J17" i="35" s="1"/>
  <c r="Q20" i="35"/>
  <c r="I70" i="35"/>
  <c r="K70" i="35" s="1"/>
  <c r="L70" i="35" s="1"/>
  <c r="Q13" i="35"/>
  <c r="Q38" i="35"/>
  <c r="Q65" i="35"/>
  <c r="Q72" i="35"/>
  <c r="Q22" i="35"/>
  <c r="I36" i="35"/>
  <c r="Q36" i="35"/>
  <c r="I38" i="35"/>
  <c r="Q41" i="35"/>
  <c r="Q64" i="35"/>
  <c r="I41" i="35"/>
  <c r="I65" i="35"/>
  <c r="I72" i="35"/>
  <c r="I64" i="35"/>
  <c r="I21" i="35"/>
  <c r="Q21" i="35"/>
  <c r="Q37" i="35"/>
  <c r="I71" i="35"/>
  <c r="J93" i="33"/>
  <c r="K93" i="33"/>
  <c r="J94" i="33"/>
  <c r="K94" i="33"/>
  <c r="J95" i="33"/>
  <c r="K95" i="33"/>
  <c r="L95" i="33" s="1"/>
  <c r="J96" i="33"/>
  <c r="K96" i="33"/>
  <c r="L96" i="33" s="1"/>
  <c r="J97" i="33"/>
  <c r="K97" i="33"/>
  <c r="L92" i="33"/>
  <c r="L93" i="33"/>
  <c r="M93" i="33"/>
  <c r="N93" i="33"/>
  <c r="O93" i="33"/>
  <c r="P93" i="33"/>
  <c r="Q93" i="33"/>
  <c r="R93" i="33"/>
  <c r="W93" i="33"/>
  <c r="X93" i="33"/>
  <c r="L94" i="33"/>
  <c r="M94" i="33"/>
  <c r="Q94" i="33" s="1"/>
  <c r="N94" i="33"/>
  <c r="O94" i="33"/>
  <c r="P94" i="33"/>
  <c r="R94" i="33"/>
  <c r="W94" i="33"/>
  <c r="X94" i="33"/>
  <c r="M95" i="33"/>
  <c r="N95" i="33"/>
  <c r="Q95" i="33" s="1"/>
  <c r="O95" i="33"/>
  <c r="P95" i="33"/>
  <c r="R95" i="33"/>
  <c r="W95" i="33"/>
  <c r="X95" i="33"/>
  <c r="M96" i="33"/>
  <c r="N96" i="33"/>
  <c r="O96" i="33"/>
  <c r="P96" i="33"/>
  <c r="Q96" i="33"/>
  <c r="R96" i="33"/>
  <c r="W96" i="33"/>
  <c r="X96" i="33"/>
  <c r="L97" i="33"/>
  <c r="M97" i="33"/>
  <c r="Q97" i="33" s="1"/>
  <c r="N97" i="33"/>
  <c r="O97" i="33"/>
  <c r="P97" i="33"/>
  <c r="R97" i="33"/>
  <c r="W97" i="33"/>
  <c r="X97" i="33"/>
  <c r="I93" i="33"/>
  <c r="I94" i="33"/>
  <c r="I95" i="33"/>
  <c r="I96" i="33"/>
  <c r="I97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7" i="33"/>
  <c r="H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D93" i="33"/>
  <c r="D94" i="33"/>
  <c r="D95" i="33"/>
  <c r="D96" i="33"/>
  <c r="D97" i="33"/>
  <c r="C93" i="33"/>
  <c r="C94" i="33"/>
  <c r="C95" i="33"/>
  <c r="C96" i="33"/>
  <c r="C97" i="33"/>
  <c r="B93" i="33"/>
  <c r="B94" i="33"/>
  <c r="B95" i="33"/>
  <c r="B96" i="33"/>
  <c r="B97" i="33"/>
  <c r="A96" i="33"/>
  <c r="A97" i="33"/>
  <c r="A93" i="33"/>
  <c r="A94" i="33"/>
  <c r="A95" i="33"/>
  <c r="E82" i="33"/>
  <c r="D83" i="33"/>
  <c r="D84" i="33"/>
  <c r="D85" i="33"/>
  <c r="D86" i="33"/>
  <c r="D87" i="33"/>
  <c r="D88" i="33"/>
  <c r="D89" i="33"/>
  <c r="D90" i="33"/>
  <c r="D91" i="33"/>
  <c r="D92" i="33"/>
  <c r="D82" i="33"/>
  <c r="A29" i="33"/>
  <c r="B29" i="33"/>
  <c r="C29" i="33"/>
  <c r="D29" i="33"/>
  <c r="E29" i="33"/>
  <c r="F29" i="33"/>
  <c r="H29" i="33"/>
  <c r="M29" i="33"/>
  <c r="Q29" i="33" s="1"/>
  <c r="N29" i="33"/>
  <c r="O29" i="33"/>
  <c r="P29" i="33"/>
  <c r="R29" i="33"/>
  <c r="W29" i="33"/>
  <c r="X29" i="33"/>
  <c r="A30" i="33"/>
  <c r="R30" i="33" s="1"/>
  <c r="B30" i="33"/>
  <c r="C30" i="33"/>
  <c r="D30" i="33"/>
  <c r="E30" i="33"/>
  <c r="F30" i="33"/>
  <c r="H30" i="33"/>
  <c r="M30" i="33"/>
  <c r="N30" i="33"/>
  <c r="O30" i="33"/>
  <c r="P30" i="33"/>
  <c r="W30" i="33"/>
  <c r="X30" i="33"/>
  <c r="A59" i="33"/>
  <c r="B59" i="33"/>
  <c r="C59" i="33"/>
  <c r="D59" i="33"/>
  <c r="E59" i="33"/>
  <c r="F59" i="33"/>
  <c r="G59" i="33"/>
  <c r="M59" i="33"/>
  <c r="N59" i="33"/>
  <c r="O59" i="33"/>
  <c r="P59" i="33"/>
  <c r="R59" i="33"/>
  <c r="W59" i="33"/>
  <c r="X59" i="33"/>
  <c r="A60" i="33"/>
  <c r="B60" i="33"/>
  <c r="C60" i="33"/>
  <c r="D60" i="33"/>
  <c r="E60" i="33"/>
  <c r="F60" i="33"/>
  <c r="G60" i="33"/>
  <c r="M60" i="33"/>
  <c r="N60" i="33"/>
  <c r="O60" i="33"/>
  <c r="P60" i="33"/>
  <c r="R60" i="33"/>
  <c r="W60" i="33"/>
  <c r="X60" i="33"/>
  <c r="A61" i="33"/>
  <c r="R61" i="33" s="1"/>
  <c r="B61" i="33"/>
  <c r="C61" i="33"/>
  <c r="D61" i="33"/>
  <c r="E61" i="33"/>
  <c r="F61" i="33"/>
  <c r="G61" i="33"/>
  <c r="I61" i="33"/>
  <c r="J61" i="33" s="1"/>
  <c r="M61" i="33"/>
  <c r="Q61" i="33" s="1"/>
  <c r="N61" i="33"/>
  <c r="O61" i="33"/>
  <c r="P61" i="33"/>
  <c r="W61" i="33"/>
  <c r="X61" i="33"/>
  <c r="A9" i="33"/>
  <c r="R9" i="33" s="1"/>
  <c r="X92" i="33"/>
  <c r="X91" i="33"/>
  <c r="X90" i="33"/>
  <c r="X89" i="33"/>
  <c r="X88" i="33"/>
  <c r="X87" i="33"/>
  <c r="X86" i="33"/>
  <c r="X85" i="33"/>
  <c r="X84" i="33"/>
  <c r="X83" i="33"/>
  <c r="X82" i="33"/>
  <c r="X73" i="33"/>
  <c r="X72" i="33"/>
  <c r="X71" i="33"/>
  <c r="X58" i="33"/>
  <c r="X57" i="33"/>
  <c r="X56" i="33"/>
  <c r="X55" i="33"/>
  <c r="X54" i="33"/>
  <c r="X53" i="33"/>
  <c r="X52" i="33"/>
  <c r="X51" i="33"/>
  <c r="X50" i="33"/>
  <c r="X49" i="33"/>
  <c r="X48" i="33"/>
  <c r="X47" i="33"/>
  <c r="X46" i="33"/>
  <c r="X45" i="33"/>
  <c r="X44" i="33"/>
  <c r="X43" i="33"/>
  <c r="X42" i="33"/>
  <c r="X41" i="33"/>
  <c r="X40" i="33"/>
  <c r="X39" i="33"/>
  <c r="X28" i="33"/>
  <c r="X27" i="33"/>
  <c r="X26" i="33"/>
  <c r="X25" i="33"/>
  <c r="X24" i="33"/>
  <c r="X23" i="33"/>
  <c r="X22" i="33"/>
  <c r="X21" i="33"/>
  <c r="X20" i="33"/>
  <c r="X19" i="33"/>
  <c r="X18" i="33"/>
  <c r="X17" i="33"/>
  <c r="X16" i="33"/>
  <c r="X15" i="33"/>
  <c r="X14" i="33"/>
  <c r="X13" i="33"/>
  <c r="X12" i="33"/>
  <c r="X11" i="33"/>
  <c r="X10" i="33"/>
  <c r="X9" i="33"/>
  <c r="X8" i="33"/>
  <c r="W92" i="33"/>
  <c r="W91" i="33"/>
  <c r="W90" i="33"/>
  <c r="W89" i="33"/>
  <c r="W88" i="33"/>
  <c r="W87" i="33"/>
  <c r="W86" i="33"/>
  <c r="W85" i="33"/>
  <c r="W84" i="33"/>
  <c r="W83" i="33"/>
  <c r="W82" i="33"/>
  <c r="W73" i="33"/>
  <c r="W72" i="33"/>
  <c r="W71" i="33"/>
  <c r="W58" i="33"/>
  <c r="W57" i="33"/>
  <c r="W56" i="33"/>
  <c r="W55" i="33"/>
  <c r="W54" i="33"/>
  <c r="W53" i="33"/>
  <c r="W52" i="33"/>
  <c r="W51" i="33"/>
  <c r="W50" i="33"/>
  <c r="W49" i="33"/>
  <c r="W48" i="33"/>
  <c r="W47" i="33"/>
  <c r="W46" i="33"/>
  <c r="W45" i="33"/>
  <c r="W44" i="33"/>
  <c r="W43" i="33"/>
  <c r="W42" i="33"/>
  <c r="W41" i="33"/>
  <c r="W40" i="33"/>
  <c r="W39" i="33"/>
  <c r="W28" i="33"/>
  <c r="W27" i="33"/>
  <c r="W26" i="33"/>
  <c r="W25" i="33"/>
  <c r="W24" i="33"/>
  <c r="W23" i="33"/>
  <c r="W22" i="33"/>
  <c r="W21" i="33"/>
  <c r="W20" i="33"/>
  <c r="W19" i="33"/>
  <c r="W18" i="33"/>
  <c r="W17" i="33"/>
  <c r="W16" i="33"/>
  <c r="W15" i="33"/>
  <c r="W14" i="33"/>
  <c r="W13" i="33"/>
  <c r="W12" i="33"/>
  <c r="W11" i="33"/>
  <c r="W10" i="33"/>
  <c r="W9" i="33"/>
  <c r="W8" i="33"/>
  <c r="P92" i="33"/>
  <c r="P91" i="33"/>
  <c r="P90" i="33"/>
  <c r="P89" i="33"/>
  <c r="P88" i="33"/>
  <c r="P87" i="33"/>
  <c r="P86" i="33"/>
  <c r="P85" i="33"/>
  <c r="P84" i="33"/>
  <c r="P83" i="33"/>
  <c r="P82" i="33"/>
  <c r="P73" i="33"/>
  <c r="P72" i="33"/>
  <c r="P71" i="33"/>
  <c r="P58" i="33"/>
  <c r="P57" i="33"/>
  <c r="P56" i="33"/>
  <c r="P55" i="33"/>
  <c r="P54" i="33"/>
  <c r="P53" i="33"/>
  <c r="P52" i="33"/>
  <c r="P51" i="33"/>
  <c r="P50" i="33"/>
  <c r="P49" i="33"/>
  <c r="P48" i="33"/>
  <c r="P47" i="33"/>
  <c r="P46" i="33"/>
  <c r="P45" i="33"/>
  <c r="P44" i="33"/>
  <c r="P43" i="33"/>
  <c r="P42" i="33"/>
  <c r="P41" i="33"/>
  <c r="P40" i="33"/>
  <c r="P39" i="33"/>
  <c r="P28" i="33"/>
  <c r="P27" i="33"/>
  <c r="P26" i="33"/>
  <c r="P25" i="33"/>
  <c r="P24" i="33"/>
  <c r="P23" i="33"/>
  <c r="P22" i="33"/>
  <c r="P21" i="33"/>
  <c r="P20" i="33"/>
  <c r="P19" i="33"/>
  <c r="P18" i="33"/>
  <c r="P17" i="33"/>
  <c r="P16" i="33"/>
  <c r="P15" i="33"/>
  <c r="P14" i="33"/>
  <c r="P13" i="33"/>
  <c r="P12" i="33"/>
  <c r="P11" i="33"/>
  <c r="P10" i="33"/>
  <c r="P9" i="33"/>
  <c r="P8" i="33"/>
  <c r="O92" i="33"/>
  <c r="O91" i="33"/>
  <c r="O90" i="33"/>
  <c r="O89" i="33"/>
  <c r="O88" i="33"/>
  <c r="O87" i="33"/>
  <c r="O86" i="33"/>
  <c r="O85" i="33"/>
  <c r="O84" i="33"/>
  <c r="O83" i="33"/>
  <c r="O82" i="33"/>
  <c r="O73" i="33"/>
  <c r="O72" i="33"/>
  <c r="O71" i="33"/>
  <c r="O58" i="33"/>
  <c r="O57" i="33"/>
  <c r="O56" i="33"/>
  <c r="O55" i="33"/>
  <c r="O54" i="33"/>
  <c r="O53" i="33"/>
  <c r="O52" i="33"/>
  <c r="O51" i="33"/>
  <c r="O50" i="33"/>
  <c r="O49" i="33"/>
  <c r="O48" i="33"/>
  <c r="O47" i="33"/>
  <c r="O46" i="33"/>
  <c r="O45" i="33"/>
  <c r="O44" i="33"/>
  <c r="O43" i="33"/>
  <c r="O42" i="33"/>
  <c r="O41" i="33"/>
  <c r="O40" i="33"/>
  <c r="O39" i="33"/>
  <c r="O28" i="33"/>
  <c r="O27" i="33"/>
  <c r="O26" i="33"/>
  <c r="O25" i="33"/>
  <c r="O24" i="33"/>
  <c r="O23" i="33"/>
  <c r="O22" i="33"/>
  <c r="O21" i="33"/>
  <c r="O20" i="33"/>
  <c r="O19" i="33"/>
  <c r="O18" i="33"/>
  <c r="O17" i="33"/>
  <c r="O16" i="33"/>
  <c r="O15" i="33"/>
  <c r="O14" i="33"/>
  <c r="O13" i="33"/>
  <c r="O12" i="33"/>
  <c r="O11" i="33"/>
  <c r="O10" i="33"/>
  <c r="O9" i="33"/>
  <c r="O8" i="33"/>
  <c r="N92" i="33"/>
  <c r="N91" i="33"/>
  <c r="N90" i="33"/>
  <c r="N89" i="33"/>
  <c r="N88" i="33"/>
  <c r="N87" i="33"/>
  <c r="N86" i="33"/>
  <c r="N85" i="33"/>
  <c r="N84" i="33"/>
  <c r="N83" i="33"/>
  <c r="N82" i="33"/>
  <c r="N73" i="33"/>
  <c r="N72" i="33"/>
  <c r="N71" i="33"/>
  <c r="N58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28" i="33"/>
  <c r="N27" i="33"/>
  <c r="N26" i="33"/>
  <c r="N25" i="33"/>
  <c r="N24" i="33"/>
  <c r="N23" i="33"/>
  <c r="N22" i="33"/>
  <c r="N21" i="33"/>
  <c r="N20" i="33"/>
  <c r="N19" i="33"/>
  <c r="N18" i="33"/>
  <c r="N17" i="33"/>
  <c r="N16" i="33"/>
  <c r="N15" i="33"/>
  <c r="N14" i="33"/>
  <c r="N13" i="33"/>
  <c r="N12" i="33"/>
  <c r="N11" i="33"/>
  <c r="N10" i="33"/>
  <c r="N9" i="33"/>
  <c r="N8" i="33"/>
  <c r="M92" i="33"/>
  <c r="M91" i="33"/>
  <c r="M90" i="33"/>
  <c r="M89" i="33"/>
  <c r="M88" i="33"/>
  <c r="M87" i="33"/>
  <c r="M86" i="33"/>
  <c r="M85" i="33"/>
  <c r="M84" i="33"/>
  <c r="M83" i="33"/>
  <c r="M82" i="33"/>
  <c r="M73" i="33"/>
  <c r="M72" i="33"/>
  <c r="M71" i="33"/>
  <c r="M58" i="33"/>
  <c r="M57" i="33"/>
  <c r="M56" i="33"/>
  <c r="M55" i="33"/>
  <c r="M54" i="33"/>
  <c r="M53" i="33"/>
  <c r="M52" i="33"/>
  <c r="M51" i="33"/>
  <c r="M50" i="33"/>
  <c r="M49" i="33"/>
  <c r="M48" i="33"/>
  <c r="M47" i="33"/>
  <c r="M46" i="33"/>
  <c r="M45" i="33"/>
  <c r="M44" i="33"/>
  <c r="M43" i="33"/>
  <c r="M42" i="33"/>
  <c r="M41" i="33"/>
  <c r="M40" i="33"/>
  <c r="M39" i="33"/>
  <c r="M28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M15" i="33"/>
  <c r="M14" i="33"/>
  <c r="M13" i="33"/>
  <c r="M12" i="33"/>
  <c r="M11" i="33"/>
  <c r="M10" i="33"/>
  <c r="M9" i="33"/>
  <c r="M8" i="33"/>
  <c r="H73" i="33"/>
  <c r="H72" i="33"/>
  <c r="H71" i="33"/>
  <c r="H40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G73" i="33"/>
  <c r="G72" i="33"/>
  <c r="G71" i="33"/>
  <c r="G58" i="33"/>
  <c r="G57" i="33"/>
  <c r="G56" i="33"/>
  <c r="G55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2" i="33"/>
  <c r="G41" i="33"/>
  <c r="G40" i="33"/>
  <c r="G39" i="33"/>
  <c r="F73" i="33"/>
  <c r="F72" i="33"/>
  <c r="F71" i="33"/>
  <c r="F58" i="33"/>
  <c r="F57" i="33"/>
  <c r="F56" i="33"/>
  <c r="F55" i="33"/>
  <c r="F54" i="33"/>
  <c r="F53" i="33"/>
  <c r="F52" i="33"/>
  <c r="F51" i="33"/>
  <c r="F50" i="33"/>
  <c r="F49" i="33"/>
  <c r="F48" i="33"/>
  <c r="F47" i="33"/>
  <c r="F46" i="33"/>
  <c r="F45" i="33"/>
  <c r="F44" i="33"/>
  <c r="F43" i="33"/>
  <c r="F42" i="33"/>
  <c r="F41" i="33"/>
  <c r="F40" i="33"/>
  <c r="F39" i="33"/>
  <c r="F28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F9" i="33"/>
  <c r="F8" i="33"/>
  <c r="E73" i="33"/>
  <c r="E72" i="33"/>
  <c r="E71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D73" i="33"/>
  <c r="D72" i="33"/>
  <c r="D71" i="33"/>
  <c r="D58" i="33"/>
  <c r="D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C92" i="33"/>
  <c r="C91" i="33"/>
  <c r="C90" i="33"/>
  <c r="C89" i="33"/>
  <c r="C88" i="33"/>
  <c r="C87" i="33"/>
  <c r="C86" i="33"/>
  <c r="C85" i="33"/>
  <c r="C84" i="33"/>
  <c r="C83" i="33"/>
  <c r="C82" i="33"/>
  <c r="C73" i="33"/>
  <c r="C72" i="33"/>
  <c r="C71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B92" i="33"/>
  <c r="B91" i="33"/>
  <c r="B90" i="33"/>
  <c r="B89" i="33"/>
  <c r="B88" i="33"/>
  <c r="B87" i="33"/>
  <c r="B86" i="33"/>
  <c r="B85" i="33"/>
  <c r="B84" i="33"/>
  <c r="B83" i="33"/>
  <c r="B82" i="33"/>
  <c r="B73" i="33"/>
  <c r="B72" i="33"/>
  <c r="B71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A92" i="33"/>
  <c r="R92" i="33" s="1"/>
  <c r="A91" i="33"/>
  <c r="R91" i="33" s="1"/>
  <c r="A90" i="33"/>
  <c r="R90" i="33" s="1"/>
  <c r="A89" i="33"/>
  <c r="R89" i="33" s="1"/>
  <c r="A88" i="33"/>
  <c r="R88" i="33" s="1"/>
  <c r="A87" i="33"/>
  <c r="A86" i="33"/>
  <c r="A85" i="33"/>
  <c r="R85" i="33" s="1"/>
  <c r="A84" i="33"/>
  <c r="R84" i="33" s="1"/>
  <c r="A83" i="33"/>
  <c r="R83" i="33" s="1"/>
  <c r="A82" i="33"/>
  <c r="R82" i="33" s="1"/>
  <c r="A73" i="33"/>
  <c r="R73" i="33" s="1"/>
  <c r="A72" i="33"/>
  <c r="R72" i="33" s="1"/>
  <c r="A71" i="33"/>
  <c r="A58" i="33"/>
  <c r="R58" i="33" s="1"/>
  <c r="A57" i="33"/>
  <c r="R57" i="33" s="1"/>
  <c r="A56" i="33"/>
  <c r="R56" i="33" s="1"/>
  <c r="A55" i="33"/>
  <c r="R55" i="33" s="1"/>
  <c r="A54" i="33"/>
  <c r="R54" i="33" s="1"/>
  <c r="A53" i="33"/>
  <c r="R53" i="33" s="1"/>
  <c r="A52" i="33"/>
  <c r="R52" i="33" s="1"/>
  <c r="A51" i="33"/>
  <c r="R51" i="33" s="1"/>
  <c r="A50" i="33"/>
  <c r="R50" i="33" s="1"/>
  <c r="A49" i="33"/>
  <c r="R49" i="33" s="1"/>
  <c r="A48" i="33"/>
  <c r="R48" i="33" s="1"/>
  <c r="A47" i="33"/>
  <c r="R47" i="33" s="1"/>
  <c r="A46" i="33"/>
  <c r="R46" i="33" s="1"/>
  <c r="A45" i="33"/>
  <c r="R45" i="33" s="1"/>
  <c r="A44" i="33"/>
  <c r="R44" i="33" s="1"/>
  <c r="A43" i="33"/>
  <c r="A42" i="33"/>
  <c r="R42" i="33" s="1"/>
  <c r="A41" i="33"/>
  <c r="R41" i="33" s="1"/>
  <c r="A40" i="33"/>
  <c r="R40" i="33" s="1"/>
  <c r="A39" i="33"/>
  <c r="R39" i="33" s="1"/>
  <c r="A28" i="33"/>
  <c r="R28" i="33" s="1"/>
  <c r="A27" i="33"/>
  <c r="R27" i="33" s="1"/>
  <c r="A26" i="33"/>
  <c r="R26" i="33" s="1"/>
  <c r="A25" i="33"/>
  <c r="R25" i="33" s="1"/>
  <c r="A24" i="33"/>
  <c r="R24" i="33" s="1"/>
  <c r="A23" i="33"/>
  <c r="R23" i="33" s="1"/>
  <c r="A22" i="33"/>
  <c r="R22" i="33" s="1"/>
  <c r="A21" i="33"/>
  <c r="R21" i="33" s="1"/>
  <c r="A20" i="33"/>
  <c r="R20" i="33" s="1"/>
  <c r="A19" i="33"/>
  <c r="R19" i="33" s="1"/>
  <c r="A18" i="33"/>
  <c r="R18" i="33" s="1"/>
  <c r="A17" i="33"/>
  <c r="A16" i="33"/>
  <c r="R16" i="33" s="1"/>
  <c r="A15" i="33"/>
  <c r="R15" i="33" s="1"/>
  <c r="A14" i="33"/>
  <c r="R14" i="33" s="1"/>
  <c r="A13" i="33"/>
  <c r="R13" i="33" s="1"/>
  <c r="A12" i="33"/>
  <c r="R12" i="33" s="1"/>
  <c r="A11" i="33"/>
  <c r="R11" i="33" s="1"/>
  <c r="A10" i="33"/>
  <c r="R10" i="33" s="1"/>
  <c r="A8" i="33"/>
  <c r="R87" i="33"/>
  <c r="R86" i="33"/>
  <c r="R71" i="33"/>
  <c r="R43" i="33"/>
  <c r="R17" i="33"/>
  <c r="R8" i="33"/>
  <c r="D77" i="31"/>
  <c r="E77" i="31"/>
  <c r="F77" i="31"/>
  <c r="G77" i="31"/>
  <c r="H77" i="31"/>
  <c r="I77" i="31"/>
  <c r="J77" i="31" s="1"/>
  <c r="K77" i="31"/>
  <c r="L77" i="31" s="1"/>
  <c r="M77" i="31"/>
  <c r="N77" i="31"/>
  <c r="O77" i="31"/>
  <c r="P77" i="31"/>
  <c r="Q77" i="31"/>
  <c r="T77" i="31" s="1"/>
  <c r="V77" i="31" s="1"/>
  <c r="R77" i="31"/>
  <c r="S77" i="31"/>
  <c r="U77" i="31" s="1"/>
  <c r="W77" i="31"/>
  <c r="X77" i="31"/>
  <c r="D78" i="31"/>
  <c r="I78" i="31" s="1"/>
  <c r="E78" i="31"/>
  <c r="F78" i="31"/>
  <c r="G78" i="31"/>
  <c r="H78" i="31"/>
  <c r="M78" i="31"/>
  <c r="Q78" i="31" s="1"/>
  <c r="N78" i="31"/>
  <c r="O78" i="31"/>
  <c r="P78" i="31"/>
  <c r="R78" i="31"/>
  <c r="W78" i="31"/>
  <c r="X78" i="31"/>
  <c r="D79" i="31"/>
  <c r="E79" i="31"/>
  <c r="F79" i="31"/>
  <c r="G79" i="31"/>
  <c r="H79" i="31"/>
  <c r="I79" i="31"/>
  <c r="J79" i="31" s="1"/>
  <c r="M79" i="31"/>
  <c r="N79" i="31"/>
  <c r="O79" i="31"/>
  <c r="P79" i="31"/>
  <c r="Q79" i="31"/>
  <c r="R79" i="31"/>
  <c r="W79" i="31"/>
  <c r="X79" i="31"/>
  <c r="I66" i="31"/>
  <c r="G67" i="31"/>
  <c r="H67" i="31"/>
  <c r="G68" i="31"/>
  <c r="H68" i="31"/>
  <c r="G69" i="31"/>
  <c r="H69" i="31"/>
  <c r="G70" i="31"/>
  <c r="H70" i="31"/>
  <c r="G71" i="31"/>
  <c r="H71" i="31"/>
  <c r="G72" i="31"/>
  <c r="H72" i="31"/>
  <c r="G73" i="31"/>
  <c r="H73" i="31"/>
  <c r="G74" i="31"/>
  <c r="H74" i="31"/>
  <c r="G75" i="31"/>
  <c r="H75" i="31"/>
  <c r="G76" i="31"/>
  <c r="H76" i="31"/>
  <c r="H66" i="31"/>
  <c r="G66" i="31"/>
  <c r="C77" i="31"/>
  <c r="C78" i="31"/>
  <c r="C79" i="31"/>
  <c r="B77" i="31"/>
  <c r="B78" i="31"/>
  <c r="B79" i="31"/>
  <c r="A79" i="31"/>
  <c r="A77" i="31"/>
  <c r="A78" i="31"/>
  <c r="T83" i="39" l="1"/>
  <c r="V83" i="39" s="1"/>
  <c r="S24" i="39"/>
  <c r="S25" i="39"/>
  <c r="K22" i="39"/>
  <c r="L22" i="39" s="1"/>
  <c r="J10" i="39"/>
  <c r="K35" i="39"/>
  <c r="L35" i="39" s="1"/>
  <c r="J59" i="39"/>
  <c r="J23" i="39"/>
  <c r="J69" i="39"/>
  <c r="K82" i="39"/>
  <c r="L82" i="39" s="1"/>
  <c r="K47" i="39"/>
  <c r="L47" i="39" s="1"/>
  <c r="K34" i="39"/>
  <c r="L34" i="39" s="1"/>
  <c r="J70" i="39"/>
  <c r="J18" i="39"/>
  <c r="S72" i="39"/>
  <c r="U72" i="39" s="1"/>
  <c r="J60" i="39"/>
  <c r="K19" i="39"/>
  <c r="L19" i="39" s="1"/>
  <c r="J81" i="39"/>
  <c r="J16" i="39"/>
  <c r="S49" i="39"/>
  <c r="U49" i="39" s="1"/>
  <c r="J72" i="39"/>
  <c r="J40" i="39"/>
  <c r="K43" i="39"/>
  <c r="L43" i="39" s="1"/>
  <c r="J15" i="39"/>
  <c r="J13" i="39"/>
  <c r="J46" i="39"/>
  <c r="J49" i="39"/>
  <c r="J76" i="39"/>
  <c r="J17" i="39"/>
  <c r="J48" i="39"/>
  <c r="J74" i="39"/>
  <c r="J36" i="39"/>
  <c r="K11" i="39"/>
  <c r="L11" i="39" s="1"/>
  <c r="J14" i="39"/>
  <c r="K38" i="39"/>
  <c r="L38" i="39" s="1"/>
  <c r="J77" i="39"/>
  <c r="L77" i="39"/>
  <c r="S77" i="39"/>
  <c r="U77" i="39" s="1"/>
  <c r="K79" i="39"/>
  <c r="L79" i="39" s="1"/>
  <c r="J41" i="39"/>
  <c r="S41" i="39"/>
  <c r="U41" i="39" s="1"/>
  <c r="K20" i="39"/>
  <c r="L20" i="39" s="1"/>
  <c r="J80" i="39"/>
  <c r="L42" i="39"/>
  <c r="S42" i="39"/>
  <c r="U42" i="39" s="1"/>
  <c r="K44" i="39"/>
  <c r="L44" i="39" s="1"/>
  <c r="S14" i="39"/>
  <c r="U14" i="39" s="1"/>
  <c r="J39" i="39"/>
  <c r="J78" i="39"/>
  <c r="J42" i="39"/>
  <c r="S19" i="39"/>
  <c r="U19" i="39" s="1"/>
  <c r="K9" i="39"/>
  <c r="L9" i="39" s="1"/>
  <c r="J45" i="39"/>
  <c r="J21" i="39"/>
  <c r="J12" i="39"/>
  <c r="J37" i="39"/>
  <c r="S22" i="39"/>
  <c r="T22" i="39" s="1"/>
  <c r="V22" i="39" s="1"/>
  <c r="S80" i="39"/>
  <c r="U80" i="39" s="1"/>
  <c r="L8" i="39"/>
  <c r="S8" i="39"/>
  <c r="U8" i="39" s="1"/>
  <c r="L73" i="39"/>
  <c r="S73" i="39"/>
  <c r="U73" i="39" s="1"/>
  <c r="L46" i="39"/>
  <c r="S46" i="39"/>
  <c r="U46" i="39" s="1"/>
  <c r="K71" i="39"/>
  <c r="J73" i="39"/>
  <c r="J8" i="39"/>
  <c r="S16" i="39"/>
  <c r="U16" i="39" s="1"/>
  <c r="S18" i="39"/>
  <c r="U18" i="39" s="1"/>
  <c r="S21" i="39"/>
  <c r="U21" i="39" s="1"/>
  <c r="S74" i="39"/>
  <c r="U74" i="39" s="1"/>
  <c r="S12" i="39"/>
  <c r="U12" i="39" s="1"/>
  <c r="S45" i="39"/>
  <c r="S60" i="39"/>
  <c r="S15" i="39"/>
  <c r="U15" i="39" s="1"/>
  <c r="S36" i="39"/>
  <c r="U36" i="39" s="1"/>
  <c r="S17" i="39"/>
  <c r="S59" i="39"/>
  <c r="S48" i="39"/>
  <c r="S40" i="39"/>
  <c r="S37" i="39"/>
  <c r="S39" i="39"/>
  <c r="S23" i="39"/>
  <c r="S78" i="39"/>
  <c r="S13" i="39"/>
  <c r="S75" i="39"/>
  <c r="S76" i="39"/>
  <c r="S70" i="39"/>
  <c r="S10" i="39"/>
  <c r="S69" i="39"/>
  <c r="S81" i="39"/>
  <c r="S24" i="37"/>
  <c r="S81" i="37"/>
  <c r="U81" i="37" s="1"/>
  <c r="K80" i="37"/>
  <c r="L80" i="37" s="1"/>
  <c r="T81" i="37"/>
  <c r="V81" i="37" s="1"/>
  <c r="S80" i="37"/>
  <c r="S47" i="37"/>
  <c r="U23" i="37"/>
  <c r="T23" i="37"/>
  <c r="V23" i="37" s="1"/>
  <c r="T24" i="37"/>
  <c r="V24" i="37" s="1"/>
  <c r="U24" i="37"/>
  <c r="K68" i="37"/>
  <c r="L68" i="37" s="1"/>
  <c r="T71" i="37"/>
  <c r="V71" i="37" s="1"/>
  <c r="K14" i="37"/>
  <c r="L14" i="37" s="1"/>
  <c r="J79" i="37"/>
  <c r="K18" i="37"/>
  <c r="L18" i="37" s="1"/>
  <c r="K38" i="37"/>
  <c r="L38" i="37" s="1"/>
  <c r="J43" i="37"/>
  <c r="K46" i="37"/>
  <c r="L46" i="37" s="1"/>
  <c r="K20" i="37"/>
  <c r="L20" i="37" s="1"/>
  <c r="K73" i="37"/>
  <c r="L73" i="37" s="1"/>
  <c r="J59" i="37"/>
  <c r="J10" i="37"/>
  <c r="K39" i="37"/>
  <c r="L39" i="37" s="1"/>
  <c r="J37" i="37"/>
  <c r="K40" i="37"/>
  <c r="L40" i="37" s="1"/>
  <c r="S13" i="37"/>
  <c r="U13" i="37" s="1"/>
  <c r="J75" i="37"/>
  <c r="J45" i="37"/>
  <c r="J69" i="37"/>
  <c r="S76" i="37"/>
  <c r="U76" i="37" s="1"/>
  <c r="S73" i="37"/>
  <c r="U73" i="37" s="1"/>
  <c r="S35" i="37"/>
  <c r="U35" i="37" s="1"/>
  <c r="J70" i="37"/>
  <c r="K78" i="37"/>
  <c r="L78" i="37" s="1"/>
  <c r="S58" i="37"/>
  <c r="U58" i="37" s="1"/>
  <c r="J42" i="37"/>
  <c r="S36" i="37"/>
  <c r="U36" i="37" s="1"/>
  <c r="S17" i="37"/>
  <c r="U17" i="37" s="1"/>
  <c r="S34" i="37"/>
  <c r="U34" i="37" s="1"/>
  <c r="S42" i="37"/>
  <c r="U42" i="37" s="1"/>
  <c r="S8" i="37"/>
  <c r="S10" i="37"/>
  <c r="S41" i="37"/>
  <c r="S43" i="37"/>
  <c r="S79" i="37"/>
  <c r="U79" i="37" s="1"/>
  <c r="S70" i="37"/>
  <c r="S72" i="37"/>
  <c r="U72" i="37" s="1"/>
  <c r="S68" i="37"/>
  <c r="S40" i="37"/>
  <c r="S21" i="37"/>
  <c r="S12" i="37"/>
  <c r="S77" i="37"/>
  <c r="S16" i="37"/>
  <c r="S37" i="37"/>
  <c r="U22" i="37"/>
  <c r="T22" i="37"/>
  <c r="V22" i="37" s="1"/>
  <c r="S75" i="37"/>
  <c r="S9" i="37"/>
  <c r="S19" i="37"/>
  <c r="T69" i="37"/>
  <c r="V69" i="37" s="1"/>
  <c r="S74" i="37"/>
  <c r="S44" i="37"/>
  <c r="S59" i="37"/>
  <c r="S18" i="37"/>
  <c r="S15" i="37"/>
  <c r="S33" i="37"/>
  <c r="S11" i="37"/>
  <c r="S45" i="37"/>
  <c r="S14" i="37"/>
  <c r="K22" i="35"/>
  <c r="L22" i="35" s="1"/>
  <c r="J10" i="35"/>
  <c r="J68" i="35"/>
  <c r="J8" i="35"/>
  <c r="J54" i="35"/>
  <c r="S54" i="35"/>
  <c r="U54" i="35" s="1"/>
  <c r="K75" i="35"/>
  <c r="L75" i="35" s="1"/>
  <c r="J16" i="35"/>
  <c r="K42" i="35"/>
  <c r="L42" i="35" s="1"/>
  <c r="S68" i="35"/>
  <c r="U68" i="35" s="1"/>
  <c r="K31" i="35"/>
  <c r="L31" i="35" s="1"/>
  <c r="S15" i="35"/>
  <c r="U15" i="35" s="1"/>
  <c r="K39" i="35"/>
  <c r="L39" i="35" s="1"/>
  <c r="J35" i="35"/>
  <c r="J18" i="35"/>
  <c r="J67" i="35"/>
  <c r="J37" i="35"/>
  <c r="K14" i="35"/>
  <c r="L14" i="35" s="1"/>
  <c r="S67" i="35"/>
  <c r="U67" i="35" s="1"/>
  <c r="J43" i="35"/>
  <c r="J19" i="35"/>
  <c r="S19" i="35" s="1"/>
  <c r="J15" i="35"/>
  <c r="J69" i="35"/>
  <c r="J74" i="35"/>
  <c r="S74" i="35" s="1"/>
  <c r="U74" i="35" s="1"/>
  <c r="K40" i="35"/>
  <c r="L40" i="35" s="1"/>
  <c r="J33" i="35"/>
  <c r="J13" i="35"/>
  <c r="J9" i="35"/>
  <c r="J20" i="35"/>
  <c r="S9" i="35"/>
  <c r="J66" i="35"/>
  <c r="K44" i="35"/>
  <c r="L44" i="35" s="1"/>
  <c r="K55" i="35"/>
  <c r="L55" i="35" s="1"/>
  <c r="J32" i="35"/>
  <c r="J11" i="35"/>
  <c r="L34" i="35"/>
  <c r="S34" i="35"/>
  <c r="U34" i="35" s="1"/>
  <c r="S22" i="35"/>
  <c r="U22" i="35" s="1"/>
  <c r="J70" i="35"/>
  <c r="J34" i="35"/>
  <c r="K73" i="35"/>
  <c r="L73" i="35" s="1"/>
  <c r="S8" i="35"/>
  <c r="U8" i="35" s="1"/>
  <c r="S66" i="35"/>
  <c r="U66" i="35" s="1"/>
  <c r="K12" i="35"/>
  <c r="L12" i="35" s="1"/>
  <c r="L11" i="35"/>
  <c r="S11" i="35"/>
  <c r="S69" i="35"/>
  <c r="S20" i="35"/>
  <c r="S32" i="35"/>
  <c r="S10" i="35"/>
  <c r="U10" i="35" s="1"/>
  <c r="K17" i="35"/>
  <c r="S33" i="35"/>
  <c r="U33" i="35" s="1"/>
  <c r="S16" i="35"/>
  <c r="S43" i="35"/>
  <c r="K71" i="35"/>
  <c r="J71" i="35"/>
  <c r="K64" i="35"/>
  <c r="L64" i="35" s="1"/>
  <c r="J64" i="35"/>
  <c r="J65" i="35"/>
  <c r="K65" i="35"/>
  <c r="L65" i="35" s="1"/>
  <c r="K36" i="35"/>
  <c r="L36" i="35" s="1"/>
  <c r="J36" i="35"/>
  <c r="S13" i="35"/>
  <c r="U13" i="35" s="1"/>
  <c r="S18" i="35"/>
  <c r="J41" i="35"/>
  <c r="K41" i="35"/>
  <c r="L41" i="35" s="1"/>
  <c r="S37" i="35"/>
  <c r="U37" i="35" s="1"/>
  <c r="J72" i="35"/>
  <c r="K72" i="35"/>
  <c r="L72" i="35" s="1"/>
  <c r="S70" i="35"/>
  <c r="J38" i="35"/>
  <c r="K38" i="35"/>
  <c r="L38" i="35" s="1"/>
  <c r="K21" i="35"/>
  <c r="L21" i="35" s="1"/>
  <c r="J21" i="35"/>
  <c r="S35" i="35"/>
  <c r="S96" i="33"/>
  <c r="U96" i="33" s="1"/>
  <c r="S97" i="33"/>
  <c r="U97" i="33" s="1"/>
  <c r="S95" i="33"/>
  <c r="U95" i="33" s="1"/>
  <c r="V95" i="33"/>
  <c r="S94" i="33"/>
  <c r="U94" i="33" s="1"/>
  <c r="T94" i="33"/>
  <c r="V94" i="33" s="1"/>
  <c r="T96" i="33"/>
  <c r="V96" i="33" s="1"/>
  <c r="S93" i="33"/>
  <c r="U93" i="33" s="1"/>
  <c r="I12" i="33"/>
  <c r="I20" i="33"/>
  <c r="I28" i="33"/>
  <c r="I46" i="33"/>
  <c r="Q10" i="33"/>
  <c r="Q18" i="33"/>
  <c r="Q26" i="33"/>
  <c r="Q52" i="33"/>
  <c r="Q72" i="33"/>
  <c r="Q88" i="33"/>
  <c r="I60" i="33"/>
  <c r="K60" i="33" s="1"/>
  <c r="L60" i="33" s="1"/>
  <c r="Q30" i="33"/>
  <c r="Q59" i="33"/>
  <c r="I29" i="33"/>
  <c r="K29" i="33" s="1"/>
  <c r="L29" i="33" s="1"/>
  <c r="Q60" i="33"/>
  <c r="I30" i="33"/>
  <c r="K30" i="33" s="1"/>
  <c r="L30" i="33" s="1"/>
  <c r="I59" i="33"/>
  <c r="K59" i="33" s="1"/>
  <c r="L59" i="33" s="1"/>
  <c r="J60" i="33"/>
  <c r="K61" i="33"/>
  <c r="L61" i="33" s="1"/>
  <c r="I13" i="33"/>
  <c r="K13" i="33" s="1"/>
  <c r="L13" i="33" s="1"/>
  <c r="I21" i="33"/>
  <c r="K21" i="33" s="1"/>
  <c r="L21" i="33" s="1"/>
  <c r="I39" i="33"/>
  <c r="I47" i="33"/>
  <c r="K47" i="33" s="1"/>
  <c r="L47" i="33" s="1"/>
  <c r="I55" i="33"/>
  <c r="J55" i="33" s="1"/>
  <c r="Q11" i="33"/>
  <c r="Q19" i="33"/>
  <c r="Q27" i="33"/>
  <c r="Q53" i="33"/>
  <c r="Q73" i="33"/>
  <c r="Q89" i="33"/>
  <c r="I14" i="33"/>
  <c r="K14" i="33" s="1"/>
  <c r="L14" i="33" s="1"/>
  <c r="I22" i="33"/>
  <c r="J22" i="33" s="1"/>
  <c r="I40" i="33"/>
  <c r="J40" i="33" s="1"/>
  <c r="I56" i="33"/>
  <c r="K56" i="33" s="1"/>
  <c r="L56" i="33" s="1"/>
  <c r="I84" i="33"/>
  <c r="J84" i="33" s="1"/>
  <c r="I92" i="33"/>
  <c r="J92" i="33" s="1"/>
  <c r="Q12" i="33"/>
  <c r="Q28" i="33"/>
  <c r="Q54" i="33"/>
  <c r="Q82" i="33"/>
  <c r="Q90" i="33"/>
  <c r="I89" i="33"/>
  <c r="K89" i="33" s="1"/>
  <c r="L89" i="33" s="1"/>
  <c r="I83" i="33"/>
  <c r="J83" i="33" s="1"/>
  <c r="I91" i="33"/>
  <c r="J91" i="33" s="1"/>
  <c r="I19" i="33"/>
  <c r="K19" i="33" s="1"/>
  <c r="L19" i="33" s="1"/>
  <c r="I41" i="33"/>
  <c r="K41" i="33" s="1"/>
  <c r="L41" i="33" s="1"/>
  <c r="Q39" i="33"/>
  <c r="Q14" i="33"/>
  <c r="Q22" i="33"/>
  <c r="I48" i="33"/>
  <c r="K48" i="33" s="1"/>
  <c r="L48" i="33" s="1"/>
  <c r="Q20" i="33"/>
  <c r="Q23" i="33"/>
  <c r="Q8" i="33"/>
  <c r="I90" i="33"/>
  <c r="J90" i="33" s="1"/>
  <c r="Q9" i="33"/>
  <c r="Q49" i="33"/>
  <c r="I82" i="33"/>
  <c r="K82" i="33" s="1"/>
  <c r="L82" i="33" s="1"/>
  <c r="Q42" i="33"/>
  <c r="Q17" i="33"/>
  <c r="I87" i="33"/>
  <c r="J87" i="33" s="1"/>
  <c r="Q51" i="33"/>
  <c r="I15" i="33"/>
  <c r="J15" i="33" s="1"/>
  <c r="Q15" i="33"/>
  <c r="Q85" i="33"/>
  <c r="Q16" i="33"/>
  <c r="Q58" i="33"/>
  <c r="Q25" i="33"/>
  <c r="Q71" i="33"/>
  <c r="I51" i="33"/>
  <c r="J51" i="33" s="1"/>
  <c r="I27" i="33"/>
  <c r="J27" i="33" s="1"/>
  <c r="Q57" i="33"/>
  <c r="Q24" i="33"/>
  <c r="Q50" i="33"/>
  <c r="Q86" i="33"/>
  <c r="Q43" i="33"/>
  <c r="Q87" i="33"/>
  <c r="I11" i="33"/>
  <c r="J11" i="33" s="1"/>
  <c r="I73" i="33"/>
  <c r="K73" i="33" s="1"/>
  <c r="L73" i="33" s="1"/>
  <c r="Q41" i="33"/>
  <c r="I49" i="33"/>
  <c r="K49" i="33" s="1"/>
  <c r="L49" i="33" s="1"/>
  <c r="I57" i="33"/>
  <c r="J57" i="33" s="1"/>
  <c r="I85" i="33"/>
  <c r="J85" i="33" s="1"/>
  <c r="I42" i="33"/>
  <c r="J42" i="33" s="1"/>
  <c r="I72" i="33"/>
  <c r="K72" i="33" s="1"/>
  <c r="L72" i="33" s="1"/>
  <c r="Q13" i="33"/>
  <c r="Q21" i="33"/>
  <c r="Q47" i="33"/>
  <c r="Q55" i="33"/>
  <c r="Q83" i="33"/>
  <c r="Q91" i="33"/>
  <c r="I16" i="33"/>
  <c r="J16" i="33" s="1"/>
  <c r="I86" i="33"/>
  <c r="K86" i="33" s="1"/>
  <c r="L86" i="33" s="1"/>
  <c r="Q40" i="33"/>
  <c r="Q48" i="33"/>
  <c r="Q56" i="33"/>
  <c r="Q84" i="33"/>
  <c r="Q92" i="33"/>
  <c r="I8" i="33"/>
  <c r="J8" i="33" s="1"/>
  <c r="I58" i="33"/>
  <c r="K58" i="33" s="1"/>
  <c r="L58" i="33" s="1"/>
  <c r="I71" i="33"/>
  <c r="K71" i="33" s="1"/>
  <c r="I88" i="33"/>
  <c r="J88" i="33" s="1"/>
  <c r="I24" i="33"/>
  <c r="J24" i="33" s="1"/>
  <c r="I50" i="33"/>
  <c r="J50" i="33" s="1"/>
  <c r="K20" i="33"/>
  <c r="L20" i="33" s="1"/>
  <c r="J20" i="33"/>
  <c r="K28" i="33"/>
  <c r="L28" i="33" s="1"/>
  <c r="J28" i="33"/>
  <c r="K39" i="33"/>
  <c r="L39" i="33" s="1"/>
  <c r="J39" i="33"/>
  <c r="K12" i="33"/>
  <c r="L12" i="33" s="1"/>
  <c r="J12" i="33"/>
  <c r="I10" i="33"/>
  <c r="I45" i="33"/>
  <c r="K46" i="33"/>
  <c r="L46" i="33" s="1"/>
  <c r="J46" i="33"/>
  <c r="I43" i="33"/>
  <c r="Q44" i="33"/>
  <c r="Q45" i="33"/>
  <c r="Q46" i="33"/>
  <c r="I52" i="33"/>
  <c r="I9" i="33"/>
  <c r="I17" i="33"/>
  <c r="I25" i="33"/>
  <c r="I18" i="33"/>
  <c r="I23" i="33"/>
  <c r="I26" i="33"/>
  <c r="I44" i="33"/>
  <c r="I53" i="33"/>
  <c r="I54" i="33"/>
  <c r="J78" i="31"/>
  <c r="K78" i="31"/>
  <c r="L78" i="31" s="1"/>
  <c r="K79" i="31"/>
  <c r="L79" i="31" s="1"/>
  <c r="S43" i="39" l="1"/>
  <c r="S35" i="39"/>
  <c r="U35" i="39" s="1"/>
  <c r="U25" i="39"/>
  <c r="T25" i="39"/>
  <c r="V25" i="39" s="1"/>
  <c r="T24" i="39"/>
  <c r="V24" i="39" s="1"/>
  <c r="U24" i="39"/>
  <c r="T72" i="39"/>
  <c r="V72" i="39" s="1"/>
  <c r="S47" i="39"/>
  <c r="S82" i="39"/>
  <c r="U82" i="39" s="1"/>
  <c r="T49" i="39"/>
  <c r="V49" i="39" s="1"/>
  <c r="S34" i="39"/>
  <c r="T14" i="39"/>
  <c r="V14" i="39" s="1"/>
  <c r="S38" i="39"/>
  <c r="T38" i="39" s="1"/>
  <c r="V38" i="39" s="1"/>
  <c r="S44" i="39"/>
  <c r="U44" i="39" s="1"/>
  <c r="T42" i="39"/>
  <c r="V42" i="39" s="1"/>
  <c r="T19" i="39"/>
  <c r="V19" i="39" s="1"/>
  <c r="T80" i="39"/>
  <c r="V80" i="39" s="1"/>
  <c r="S20" i="39"/>
  <c r="T20" i="39" s="1"/>
  <c r="V20" i="39" s="1"/>
  <c r="S11" i="39"/>
  <c r="U11" i="39" s="1"/>
  <c r="T77" i="39"/>
  <c r="V77" i="39" s="1"/>
  <c r="T18" i="39"/>
  <c r="V18" i="39" s="1"/>
  <c r="T16" i="39"/>
  <c r="V16" i="39" s="1"/>
  <c r="T8" i="39"/>
  <c r="V8" i="39" s="1"/>
  <c r="T41" i="39"/>
  <c r="V41" i="39" s="1"/>
  <c r="S79" i="39"/>
  <c r="U79" i="39" s="1"/>
  <c r="T35" i="39"/>
  <c r="V35" i="39" s="1"/>
  <c r="S9" i="39"/>
  <c r="U9" i="39" s="1"/>
  <c r="T46" i="39"/>
  <c r="V46" i="39" s="1"/>
  <c r="U22" i="39"/>
  <c r="T36" i="39"/>
  <c r="V36" i="39" s="1"/>
  <c r="T73" i="39"/>
  <c r="V73" i="39" s="1"/>
  <c r="T74" i="39"/>
  <c r="V74" i="39" s="1"/>
  <c r="T15" i="39"/>
  <c r="V15" i="39" s="1"/>
  <c r="L71" i="39"/>
  <c r="S71" i="39"/>
  <c r="T21" i="39"/>
  <c r="V21" i="39" s="1"/>
  <c r="T12" i="39"/>
  <c r="V12" i="39" s="1"/>
  <c r="U45" i="39"/>
  <c r="T45" i="39"/>
  <c r="V45" i="39" s="1"/>
  <c r="U60" i="39"/>
  <c r="T60" i="39"/>
  <c r="V60" i="39" s="1"/>
  <c r="U70" i="39"/>
  <c r="T70" i="39"/>
  <c r="V70" i="39" s="1"/>
  <c r="U81" i="39"/>
  <c r="T81" i="39"/>
  <c r="V81" i="39" s="1"/>
  <c r="U43" i="39"/>
  <c r="T43" i="39"/>
  <c r="V43" i="39" s="1"/>
  <c r="U20" i="39"/>
  <c r="U59" i="39"/>
  <c r="T59" i="39"/>
  <c r="V59" i="39" s="1"/>
  <c r="U34" i="39"/>
  <c r="T34" i="39"/>
  <c r="V34" i="39" s="1"/>
  <c r="U69" i="39"/>
  <c r="T69" i="39"/>
  <c r="V69" i="39" s="1"/>
  <c r="U39" i="39"/>
  <c r="T39" i="39"/>
  <c r="V39" i="39" s="1"/>
  <c r="U40" i="39"/>
  <c r="T40" i="39"/>
  <c r="V40" i="39" s="1"/>
  <c r="U17" i="39"/>
  <c r="T17" i="39"/>
  <c r="V17" i="39" s="1"/>
  <c r="U10" i="39"/>
  <c r="T10" i="39"/>
  <c r="V10" i="39" s="1"/>
  <c r="U78" i="39"/>
  <c r="T78" i="39"/>
  <c r="V78" i="39" s="1"/>
  <c r="U23" i="39"/>
  <c r="T23" i="39"/>
  <c r="V23" i="39" s="1"/>
  <c r="U75" i="39"/>
  <c r="T75" i="39"/>
  <c r="V75" i="39" s="1"/>
  <c r="U47" i="39"/>
  <c r="T47" i="39"/>
  <c r="V47" i="39" s="1"/>
  <c r="U37" i="39"/>
  <c r="T37" i="39"/>
  <c r="V37" i="39" s="1"/>
  <c r="T82" i="39"/>
  <c r="V82" i="39" s="1"/>
  <c r="U76" i="39"/>
  <c r="T76" i="39"/>
  <c r="V76" i="39" s="1"/>
  <c r="U13" i="39"/>
  <c r="T13" i="39"/>
  <c r="V13" i="39" s="1"/>
  <c r="U48" i="39"/>
  <c r="T48" i="39"/>
  <c r="V48" i="39" s="1"/>
  <c r="U80" i="37"/>
  <c r="T80" i="37"/>
  <c r="V80" i="37" s="1"/>
  <c r="U47" i="37"/>
  <c r="T47" i="37"/>
  <c r="V47" i="37" s="1"/>
  <c r="S46" i="37"/>
  <c r="S20" i="37"/>
  <c r="U20" i="37" s="1"/>
  <c r="S38" i="37"/>
  <c r="U38" i="37" s="1"/>
  <c r="T36" i="37"/>
  <c r="V36" i="37" s="1"/>
  <c r="S39" i="37"/>
  <c r="S78" i="37"/>
  <c r="U78" i="37" s="1"/>
  <c r="T76" i="37"/>
  <c r="V76" i="37" s="1"/>
  <c r="T13" i="37"/>
  <c r="V13" i="37" s="1"/>
  <c r="T17" i="37"/>
  <c r="V17" i="37" s="1"/>
  <c r="T73" i="37"/>
  <c r="V73" i="37" s="1"/>
  <c r="T35" i="37"/>
  <c r="V35" i="37" s="1"/>
  <c r="T58" i="37"/>
  <c r="V58" i="37" s="1"/>
  <c r="T42" i="37"/>
  <c r="V42" i="37" s="1"/>
  <c r="T79" i="37"/>
  <c r="V79" i="37" s="1"/>
  <c r="T34" i="37"/>
  <c r="V34" i="37" s="1"/>
  <c r="U41" i="37"/>
  <c r="T41" i="37"/>
  <c r="V41" i="37" s="1"/>
  <c r="U10" i="37"/>
  <c r="T10" i="37"/>
  <c r="V10" i="37" s="1"/>
  <c r="T72" i="37"/>
  <c r="V72" i="37" s="1"/>
  <c r="U70" i="37"/>
  <c r="T70" i="37"/>
  <c r="V70" i="37" s="1"/>
  <c r="U8" i="37"/>
  <c r="T8" i="37"/>
  <c r="V8" i="37" s="1"/>
  <c r="U43" i="37"/>
  <c r="T43" i="37"/>
  <c r="V43" i="37" s="1"/>
  <c r="U74" i="37"/>
  <c r="T74" i="37"/>
  <c r="V74" i="37" s="1"/>
  <c r="U45" i="37"/>
  <c r="T45" i="37"/>
  <c r="V45" i="37" s="1"/>
  <c r="U44" i="37"/>
  <c r="T44" i="37"/>
  <c r="V44" i="37" s="1"/>
  <c r="U19" i="37"/>
  <c r="T19" i="37"/>
  <c r="V19" i="37" s="1"/>
  <c r="U16" i="37"/>
  <c r="T16" i="37"/>
  <c r="V16" i="37" s="1"/>
  <c r="U14" i="37"/>
  <c r="T14" i="37"/>
  <c r="V14" i="37" s="1"/>
  <c r="U12" i="37"/>
  <c r="T12" i="37"/>
  <c r="V12" i="37" s="1"/>
  <c r="U15" i="37"/>
  <c r="T15" i="37"/>
  <c r="V15" i="37" s="1"/>
  <c r="U21" i="37"/>
  <c r="T21" i="37"/>
  <c r="V21" i="37" s="1"/>
  <c r="U46" i="37"/>
  <c r="T46" i="37"/>
  <c r="V46" i="37" s="1"/>
  <c r="U9" i="37"/>
  <c r="T9" i="37"/>
  <c r="V9" i="37" s="1"/>
  <c r="U75" i="37"/>
  <c r="T75" i="37"/>
  <c r="V75" i="37" s="1"/>
  <c r="U18" i="37"/>
  <c r="T18" i="37"/>
  <c r="V18" i="37" s="1"/>
  <c r="U40" i="37"/>
  <c r="T40" i="37"/>
  <c r="V40" i="37" s="1"/>
  <c r="U77" i="37"/>
  <c r="T77" i="37"/>
  <c r="V77" i="37" s="1"/>
  <c r="U11" i="37"/>
  <c r="T11" i="37"/>
  <c r="V11" i="37" s="1"/>
  <c r="U33" i="37"/>
  <c r="T33" i="37"/>
  <c r="V33" i="37" s="1"/>
  <c r="U59" i="37"/>
  <c r="T59" i="37"/>
  <c r="V59" i="37" s="1"/>
  <c r="U37" i="37"/>
  <c r="T37" i="37"/>
  <c r="V37" i="37" s="1"/>
  <c r="U68" i="37"/>
  <c r="T68" i="37"/>
  <c r="V68" i="37" s="1"/>
  <c r="S31" i="35"/>
  <c r="T54" i="35"/>
  <c r="V54" i="35" s="1"/>
  <c r="S75" i="35"/>
  <c r="T75" i="35" s="1"/>
  <c r="V75" i="35" s="1"/>
  <c r="T74" i="35"/>
  <c r="V74" i="35" s="1"/>
  <c r="S39" i="35"/>
  <c r="T39" i="35" s="1"/>
  <c r="V39" i="35" s="1"/>
  <c r="S14" i="35"/>
  <c r="U14" i="35" s="1"/>
  <c r="T68" i="35"/>
  <c r="V68" i="35" s="1"/>
  <c r="T15" i="35"/>
  <c r="V15" i="35" s="1"/>
  <c r="S42" i="35"/>
  <c r="U42" i="35" s="1"/>
  <c r="S40" i="35"/>
  <c r="U40" i="35" s="1"/>
  <c r="T67" i="35"/>
  <c r="V67" i="35" s="1"/>
  <c r="S55" i="35"/>
  <c r="T55" i="35" s="1"/>
  <c r="V55" i="35" s="1"/>
  <c r="T66" i="35"/>
  <c r="V66" i="35" s="1"/>
  <c r="T8" i="35"/>
  <c r="V8" i="35" s="1"/>
  <c r="T33" i="35"/>
  <c r="V33" i="35" s="1"/>
  <c r="T34" i="35"/>
  <c r="V34" i="35" s="1"/>
  <c r="T10" i="35"/>
  <c r="V10" i="35" s="1"/>
  <c r="S44" i="35"/>
  <c r="T44" i="35" s="1"/>
  <c r="V44" i="35" s="1"/>
  <c r="U9" i="35"/>
  <c r="T9" i="35"/>
  <c r="V9" i="35" s="1"/>
  <c r="S73" i="35"/>
  <c r="U73" i="35" s="1"/>
  <c r="T22" i="35"/>
  <c r="V22" i="35" s="1"/>
  <c r="S72" i="35"/>
  <c r="U72" i="35" s="1"/>
  <c r="S64" i="35"/>
  <c r="U64" i="35" s="1"/>
  <c r="S12" i="35"/>
  <c r="U32" i="35"/>
  <c r="T32" i="35"/>
  <c r="V32" i="35" s="1"/>
  <c r="U20" i="35"/>
  <c r="T20" i="35"/>
  <c r="V20" i="35" s="1"/>
  <c r="U69" i="35"/>
  <c r="T69" i="35"/>
  <c r="V69" i="35" s="1"/>
  <c r="L17" i="35"/>
  <c r="S17" i="35"/>
  <c r="U11" i="35"/>
  <c r="T11" i="35"/>
  <c r="V11" i="35" s="1"/>
  <c r="U16" i="35"/>
  <c r="T16" i="35"/>
  <c r="V16" i="35" s="1"/>
  <c r="U43" i="35"/>
  <c r="T43" i="35"/>
  <c r="V43" i="35" s="1"/>
  <c r="T13" i="35"/>
  <c r="V13" i="35" s="1"/>
  <c r="S65" i="35"/>
  <c r="U65" i="35" s="1"/>
  <c r="S38" i="35"/>
  <c r="U18" i="35"/>
  <c r="T18" i="35"/>
  <c r="V18" i="35" s="1"/>
  <c r="U75" i="35"/>
  <c r="U70" i="35"/>
  <c r="T70" i="35"/>
  <c r="V70" i="35" s="1"/>
  <c r="U31" i="35"/>
  <c r="T31" i="35"/>
  <c r="V31" i="35" s="1"/>
  <c r="U35" i="35"/>
  <c r="T35" i="35"/>
  <c r="V35" i="35" s="1"/>
  <c r="L71" i="35"/>
  <c r="S71" i="35"/>
  <c r="T37" i="35"/>
  <c r="V37" i="35" s="1"/>
  <c r="S36" i="35"/>
  <c r="S41" i="35"/>
  <c r="S21" i="35"/>
  <c r="U19" i="35"/>
  <c r="T19" i="35"/>
  <c r="V19" i="35" s="1"/>
  <c r="T97" i="33"/>
  <c r="V97" i="33" s="1"/>
  <c r="T93" i="33"/>
  <c r="V93" i="33" s="1"/>
  <c r="J13" i="33"/>
  <c r="K91" i="33"/>
  <c r="L91" i="33" s="1"/>
  <c r="S61" i="33"/>
  <c r="S59" i="33"/>
  <c r="J29" i="33"/>
  <c r="J30" i="33"/>
  <c r="J59" i="33"/>
  <c r="J21" i="33"/>
  <c r="S30" i="33"/>
  <c r="S29" i="33"/>
  <c r="V61" i="33"/>
  <c r="U61" i="33"/>
  <c r="V59" i="33"/>
  <c r="U59" i="33"/>
  <c r="S60" i="33"/>
  <c r="K55" i="33"/>
  <c r="L55" i="33" s="1"/>
  <c r="J14" i="33"/>
  <c r="J56" i="33"/>
  <c r="J82" i="33"/>
  <c r="K40" i="33"/>
  <c r="L40" i="33" s="1"/>
  <c r="K22" i="33"/>
  <c r="L22" i="33" s="1"/>
  <c r="J47" i="33"/>
  <c r="K90" i="33"/>
  <c r="L90" i="33" s="1"/>
  <c r="J19" i="33"/>
  <c r="J89" i="33"/>
  <c r="K84" i="33"/>
  <c r="L84" i="33" s="1"/>
  <c r="K92" i="33"/>
  <c r="K27" i="33"/>
  <c r="L27" i="33" s="1"/>
  <c r="K83" i="33"/>
  <c r="L83" i="33" s="1"/>
  <c r="S41" i="33"/>
  <c r="U41" i="33" s="1"/>
  <c r="K85" i="33"/>
  <c r="L85" i="33" s="1"/>
  <c r="K57" i="33"/>
  <c r="L57" i="33" s="1"/>
  <c r="J48" i="33"/>
  <c r="K15" i="33"/>
  <c r="L15" i="33" s="1"/>
  <c r="J73" i="33"/>
  <c r="K50" i="33"/>
  <c r="L50" i="33" s="1"/>
  <c r="J41" i="33"/>
  <c r="K11" i="33"/>
  <c r="L11" i="33" s="1"/>
  <c r="S49" i="33"/>
  <c r="U49" i="33" s="1"/>
  <c r="K88" i="33"/>
  <c r="L88" i="33" s="1"/>
  <c r="J58" i="33"/>
  <c r="S82" i="33"/>
  <c r="U82" i="33" s="1"/>
  <c r="K87" i="33"/>
  <c r="L87" i="33" s="1"/>
  <c r="J49" i="33"/>
  <c r="S73" i="33"/>
  <c r="U73" i="33" s="1"/>
  <c r="K51" i="33"/>
  <c r="L51" i="33" s="1"/>
  <c r="S48" i="33"/>
  <c r="U48" i="33" s="1"/>
  <c r="K16" i="33"/>
  <c r="L16" i="33" s="1"/>
  <c r="K42" i="33"/>
  <c r="L42" i="33" s="1"/>
  <c r="J86" i="33"/>
  <c r="K8" i="33"/>
  <c r="L8" i="33" s="1"/>
  <c r="S27" i="33"/>
  <c r="T27" i="33" s="1"/>
  <c r="V27" i="33" s="1"/>
  <c r="L71" i="33"/>
  <c r="S71" i="33"/>
  <c r="U71" i="33" s="1"/>
  <c r="J72" i="33"/>
  <c r="S42" i="33"/>
  <c r="U42" i="33" s="1"/>
  <c r="J71" i="33"/>
  <c r="K24" i="33"/>
  <c r="L24" i="33" s="1"/>
  <c r="S20" i="33"/>
  <c r="U20" i="33" s="1"/>
  <c r="S91" i="33"/>
  <c r="U91" i="33" s="1"/>
  <c r="S72" i="33"/>
  <c r="U72" i="33" s="1"/>
  <c r="S56" i="33"/>
  <c r="U56" i="33" s="1"/>
  <c r="S19" i="33"/>
  <c r="S86" i="33"/>
  <c r="U86" i="33" s="1"/>
  <c r="S58" i="33"/>
  <c r="V58" i="33" s="1"/>
  <c r="K23" i="33"/>
  <c r="J23" i="33"/>
  <c r="J52" i="33"/>
  <c r="K52" i="33"/>
  <c r="S46" i="33"/>
  <c r="U46" i="33" s="1"/>
  <c r="K26" i="33"/>
  <c r="J26" i="33"/>
  <c r="J9" i="33"/>
  <c r="K9" i="33"/>
  <c r="S84" i="33"/>
  <c r="J25" i="33"/>
  <c r="K25" i="33"/>
  <c r="S89" i="33"/>
  <c r="S28" i="33"/>
  <c r="S13" i="33"/>
  <c r="S14" i="33"/>
  <c r="S55" i="33"/>
  <c r="K54" i="33"/>
  <c r="J54" i="33"/>
  <c r="K10" i="33"/>
  <c r="J10" i="33"/>
  <c r="K53" i="33"/>
  <c r="J53" i="33"/>
  <c r="J43" i="33"/>
  <c r="K43" i="33"/>
  <c r="S12" i="33"/>
  <c r="K45" i="33"/>
  <c r="L45" i="33" s="1"/>
  <c r="J45" i="33"/>
  <c r="K18" i="33"/>
  <c r="J18" i="33"/>
  <c r="S39" i="33"/>
  <c r="J17" i="33"/>
  <c r="K17" i="33"/>
  <c r="J44" i="33"/>
  <c r="K44" i="33"/>
  <c r="L44" i="33" s="1"/>
  <c r="S47" i="33"/>
  <c r="S21" i="33"/>
  <c r="S79" i="31"/>
  <c r="S78" i="31"/>
  <c r="U38" i="39" l="1"/>
  <c r="T44" i="39"/>
  <c r="V44" i="39" s="1"/>
  <c r="T9" i="39"/>
  <c r="V9" i="39" s="1"/>
  <c r="T11" i="39"/>
  <c r="V11" i="39" s="1"/>
  <c r="T79" i="39"/>
  <c r="V79" i="39" s="1"/>
  <c r="U71" i="39"/>
  <c r="T71" i="39"/>
  <c r="V71" i="39" s="1"/>
  <c r="T38" i="37"/>
  <c r="V38" i="37" s="1"/>
  <c r="T20" i="37"/>
  <c r="V20" i="37" s="1"/>
  <c r="T78" i="37"/>
  <c r="V78" i="37" s="1"/>
  <c r="U39" i="37"/>
  <c r="T39" i="37"/>
  <c r="V39" i="37" s="1"/>
  <c r="U39" i="35"/>
  <c r="T14" i="35"/>
  <c r="V14" i="35" s="1"/>
  <c r="T40" i="35"/>
  <c r="V40" i="35" s="1"/>
  <c r="T42" i="35"/>
  <c r="V42" i="35" s="1"/>
  <c r="U55" i="35"/>
  <c r="U44" i="35"/>
  <c r="T73" i="35"/>
  <c r="V73" i="35" s="1"/>
  <c r="T72" i="35"/>
  <c r="V72" i="35" s="1"/>
  <c r="U12" i="35"/>
  <c r="T12" i="35"/>
  <c r="V12" i="35" s="1"/>
  <c r="T64" i="35"/>
  <c r="V64" i="35" s="1"/>
  <c r="U17" i="35"/>
  <c r="T17" i="35"/>
  <c r="V17" i="35" s="1"/>
  <c r="T65" i="35"/>
  <c r="V65" i="35" s="1"/>
  <c r="U21" i="35"/>
  <c r="T21" i="35"/>
  <c r="V21" i="35" s="1"/>
  <c r="U41" i="35"/>
  <c r="T41" i="35"/>
  <c r="V41" i="35" s="1"/>
  <c r="U38" i="35"/>
  <c r="T38" i="35"/>
  <c r="V38" i="35" s="1"/>
  <c r="U36" i="35"/>
  <c r="T36" i="35"/>
  <c r="V36" i="35" s="1"/>
  <c r="U71" i="35"/>
  <c r="T71" i="35"/>
  <c r="V71" i="35" s="1"/>
  <c r="T29" i="33"/>
  <c r="V29" i="33" s="1"/>
  <c r="U29" i="33"/>
  <c r="T30" i="33"/>
  <c r="V30" i="33" s="1"/>
  <c r="U30" i="33"/>
  <c r="V60" i="33"/>
  <c r="U60" i="33"/>
  <c r="T82" i="33"/>
  <c r="V82" i="33" s="1"/>
  <c r="S22" i="33"/>
  <c r="S40" i="33"/>
  <c r="U40" i="33" s="1"/>
  <c r="S88" i="33"/>
  <c r="T48" i="33"/>
  <c r="V48" i="33" s="1"/>
  <c r="S90" i="33"/>
  <c r="U90" i="33" s="1"/>
  <c r="S85" i="33"/>
  <c r="U85" i="33" s="1"/>
  <c r="S16" i="33"/>
  <c r="U16" i="33" s="1"/>
  <c r="S57" i="33"/>
  <c r="U57" i="33" s="1"/>
  <c r="S50" i="33"/>
  <c r="U50" i="33" s="1"/>
  <c r="S15" i="33"/>
  <c r="T15" i="33" s="1"/>
  <c r="V15" i="33" s="1"/>
  <c r="S87" i="33"/>
  <c r="T87" i="33" s="1"/>
  <c r="V87" i="33" s="1"/>
  <c r="S83" i="33"/>
  <c r="T41" i="33"/>
  <c r="V41" i="33" s="1"/>
  <c r="S92" i="33"/>
  <c r="T71" i="33"/>
  <c r="V71" i="33" s="1"/>
  <c r="S11" i="33"/>
  <c r="U11" i="33" s="1"/>
  <c r="T86" i="33"/>
  <c r="V86" i="33" s="1"/>
  <c r="T49" i="33"/>
  <c r="V49" i="33" s="1"/>
  <c r="S51" i="33"/>
  <c r="T73" i="33"/>
  <c r="V73" i="33" s="1"/>
  <c r="U27" i="33"/>
  <c r="T40" i="33"/>
  <c r="V40" i="33" s="1"/>
  <c r="S24" i="33"/>
  <c r="U24" i="33" s="1"/>
  <c r="S8" i="33"/>
  <c r="T42" i="33"/>
  <c r="V42" i="33" s="1"/>
  <c r="S45" i="33"/>
  <c r="U19" i="33"/>
  <c r="T19" i="33"/>
  <c r="V19" i="33" s="1"/>
  <c r="U58" i="33"/>
  <c r="V56" i="33"/>
  <c r="T20" i="33"/>
  <c r="V20" i="33" s="1"/>
  <c r="T72" i="33"/>
  <c r="V72" i="33" s="1"/>
  <c r="T91" i="33"/>
  <c r="V91" i="33" s="1"/>
  <c r="T46" i="33"/>
  <c r="V46" i="33" s="1"/>
  <c r="L17" i="33"/>
  <c r="S17" i="33"/>
  <c r="L53" i="33"/>
  <c r="S53" i="33"/>
  <c r="U14" i="33"/>
  <c r="T14" i="33"/>
  <c r="V14" i="33" s="1"/>
  <c r="L26" i="33"/>
  <c r="S26" i="33"/>
  <c r="U13" i="33"/>
  <c r="T13" i="33"/>
  <c r="V13" i="33" s="1"/>
  <c r="L25" i="33"/>
  <c r="S25" i="33"/>
  <c r="U84" i="33"/>
  <c r="T84" i="33"/>
  <c r="V84" i="33" s="1"/>
  <c r="U12" i="33"/>
  <c r="T12" i="33"/>
  <c r="V12" i="33" s="1"/>
  <c r="U88" i="33"/>
  <c r="T88" i="33"/>
  <c r="V88" i="33" s="1"/>
  <c r="L52" i="33"/>
  <c r="S52" i="33"/>
  <c r="L10" i="33"/>
  <c r="S10" i="33"/>
  <c r="U22" i="33"/>
  <c r="T22" i="33"/>
  <c r="V22" i="33" s="1"/>
  <c r="L54" i="33"/>
  <c r="S54" i="33"/>
  <c r="U39" i="33"/>
  <c r="T39" i="33"/>
  <c r="V39" i="33" s="1"/>
  <c r="U89" i="33"/>
  <c r="T89" i="33"/>
  <c r="V89" i="33" s="1"/>
  <c r="L9" i="33"/>
  <c r="S9" i="33"/>
  <c r="L43" i="33"/>
  <c r="S43" i="33"/>
  <c r="U28" i="33"/>
  <c r="T28" i="33"/>
  <c r="V28" i="33" s="1"/>
  <c r="T16" i="33"/>
  <c r="V16" i="33" s="1"/>
  <c r="U21" i="33"/>
  <c r="T21" i="33"/>
  <c r="V21" i="33" s="1"/>
  <c r="U47" i="33"/>
  <c r="T47" i="33"/>
  <c r="V47" i="33" s="1"/>
  <c r="L18" i="33"/>
  <c r="S18" i="33"/>
  <c r="U55" i="33"/>
  <c r="V55" i="33"/>
  <c r="S44" i="33"/>
  <c r="L23" i="33"/>
  <c r="S23" i="33"/>
  <c r="U78" i="31"/>
  <c r="T78" i="31"/>
  <c r="V78" i="31" s="1"/>
  <c r="U79" i="31"/>
  <c r="T79" i="31"/>
  <c r="V79" i="31" s="1"/>
  <c r="T85" i="33" l="1"/>
  <c r="V85" i="33" s="1"/>
  <c r="T90" i="33"/>
  <c r="V90" i="33" s="1"/>
  <c r="V57" i="33"/>
  <c r="T24" i="33"/>
  <c r="V24" i="33" s="1"/>
  <c r="U15" i="33"/>
  <c r="U87" i="33"/>
  <c r="T50" i="33"/>
  <c r="V50" i="33" s="1"/>
  <c r="U92" i="33"/>
  <c r="T92" i="33"/>
  <c r="V92" i="33" s="1"/>
  <c r="U83" i="33"/>
  <c r="T83" i="33"/>
  <c r="V83" i="33" s="1"/>
  <c r="T11" i="33"/>
  <c r="V11" i="33" s="1"/>
  <c r="U51" i="33"/>
  <c r="T51" i="33"/>
  <c r="V51" i="33" s="1"/>
  <c r="U8" i="33"/>
  <c r="T8" i="33"/>
  <c r="V8" i="33" s="1"/>
  <c r="U45" i="33"/>
  <c r="T45" i="33"/>
  <c r="V45" i="33" s="1"/>
  <c r="U25" i="33"/>
  <c r="U9" i="33"/>
  <c r="T9" i="33"/>
  <c r="V9" i="33" s="1"/>
  <c r="U53" i="33"/>
  <c r="T53" i="33"/>
  <c r="V53" i="33" s="1"/>
  <c r="U18" i="33"/>
  <c r="T18" i="33"/>
  <c r="V18" i="33" s="1"/>
  <c r="U23" i="33"/>
  <c r="T23" i="33"/>
  <c r="V23" i="33" s="1"/>
  <c r="U10" i="33"/>
  <c r="T10" i="33"/>
  <c r="V10" i="33" s="1"/>
  <c r="U17" i="33"/>
  <c r="T17" i="33"/>
  <c r="V17" i="33" s="1"/>
  <c r="U54" i="33"/>
  <c r="T54" i="33"/>
  <c r="V54" i="33" s="1"/>
  <c r="U44" i="33"/>
  <c r="T44" i="33"/>
  <c r="V44" i="33" s="1"/>
  <c r="V26" i="33"/>
  <c r="U26" i="33"/>
  <c r="U43" i="33"/>
  <c r="T43" i="33"/>
  <c r="V43" i="33" s="1"/>
  <c r="U52" i="33"/>
  <c r="T52" i="33"/>
  <c r="V52" i="33" s="1"/>
  <c r="A54" i="31"/>
  <c r="B54" i="31"/>
  <c r="C54" i="31"/>
  <c r="D54" i="31"/>
  <c r="E54" i="31"/>
  <c r="F54" i="31"/>
  <c r="G54" i="31"/>
  <c r="M54" i="31"/>
  <c r="Q54" i="31" s="1"/>
  <c r="N54" i="31"/>
  <c r="O54" i="31"/>
  <c r="P54" i="31"/>
  <c r="R54" i="31"/>
  <c r="W54" i="31"/>
  <c r="X54" i="31"/>
  <c r="A55" i="31"/>
  <c r="R55" i="31" s="1"/>
  <c r="B55" i="31"/>
  <c r="C55" i="31"/>
  <c r="D55" i="31"/>
  <c r="E55" i="31"/>
  <c r="F55" i="31"/>
  <c r="G55" i="31"/>
  <c r="M55" i="31"/>
  <c r="N55" i="31"/>
  <c r="O55" i="31"/>
  <c r="P55" i="31"/>
  <c r="W55" i="31"/>
  <c r="X55" i="31"/>
  <c r="A56" i="31"/>
  <c r="R56" i="31" s="1"/>
  <c r="B56" i="31"/>
  <c r="C56" i="31"/>
  <c r="D56" i="31"/>
  <c r="E56" i="31"/>
  <c r="F56" i="31"/>
  <c r="G56" i="31"/>
  <c r="M56" i="31"/>
  <c r="N56" i="31"/>
  <c r="O56" i="31"/>
  <c r="P56" i="31"/>
  <c r="W56" i="31"/>
  <c r="X56" i="31"/>
  <c r="A27" i="31"/>
  <c r="R27" i="31" s="1"/>
  <c r="B27" i="31"/>
  <c r="C27" i="31"/>
  <c r="D27" i="31"/>
  <c r="E27" i="31"/>
  <c r="F27" i="31"/>
  <c r="H27" i="31"/>
  <c r="M27" i="31"/>
  <c r="N27" i="31"/>
  <c r="O27" i="31"/>
  <c r="P27" i="31"/>
  <c r="W27" i="31"/>
  <c r="X27" i="31"/>
  <c r="A28" i="31"/>
  <c r="R28" i="31" s="1"/>
  <c r="B28" i="31"/>
  <c r="C28" i="31"/>
  <c r="D28" i="31"/>
  <c r="E28" i="31"/>
  <c r="F28" i="31"/>
  <c r="H28" i="31"/>
  <c r="M28" i="31"/>
  <c r="N28" i="31"/>
  <c r="O28" i="31"/>
  <c r="P28" i="31"/>
  <c r="W28" i="31"/>
  <c r="X28" i="31"/>
  <c r="X76" i="31"/>
  <c r="W76" i="31"/>
  <c r="P76" i="31"/>
  <c r="O76" i="31"/>
  <c r="N76" i="31"/>
  <c r="M76" i="31"/>
  <c r="F76" i="31"/>
  <c r="E76" i="31"/>
  <c r="D76" i="31"/>
  <c r="C76" i="31"/>
  <c r="B76" i="31"/>
  <c r="A76" i="31"/>
  <c r="X75" i="31"/>
  <c r="W75" i="31"/>
  <c r="P75" i="31"/>
  <c r="O75" i="31"/>
  <c r="N75" i="31"/>
  <c r="M75" i="31"/>
  <c r="F75" i="31"/>
  <c r="E75" i="31"/>
  <c r="D75" i="31"/>
  <c r="C75" i="31"/>
  <c r="B75" i="31"/>
  <c r="A75" i="31"/>
  <c r="R75" i="31" s="1"/>
  <c r="X74" i="31"/>
  <c r="W74" i="31"/>
  <c r="P74" i="31"/>
  <c r="O74" i="31"/>
  <c r="N74" i="31"/>
  <c r="M74" i="31"/>
  <c r="F74" i="31"/>
  <c r="E74" i="31"/>
  <c r="D74" i="31"/>
  <c r="C74" i="31"/>
  <c r="B74" i="31"/>
  <c r="A74" i="31"/>
  <c r="R74" i="31" s="1"/>
  <c r="X73" i="31"/>
  <c r="W73" i="31"/>
  <c r="P73" i="31"/>
  <c r="O73" i="31"/>
  <c r="N73" i="31"/>
  <c r="M73" i="31"/>
  <c r="F73" i="31"/>
  <c r="E73" i="31"/>
  <c r="D73" i="31"/>
  <c r="C73" i="31"/>
  <c r="B73" i="31"/>
  <c r="A73" i="31"/>
  <c r="R73" i="31" s="1"/>
  <c r="X72" i="31"/>
  <c r="W72" i="31"/>
  <c r="P72" i="31"/>
  <c r="O72" i="31"/>
  <c r="N72" i="31"/>
  <c r="M72" i="31"/>
  <c r="F72" i="31"/>
  <c r="E72" i="31"/>
  <c r="D72" i="31"/>
  <c r="C72" i="31"/>
  <c r="B72" i="31"/>
  <c r="A72" i="31"/>
  <c r="R72" i="31" s="1"/>
  <c r="X71" i="31"/>
  <c r="W71" i="31"/>
  <c r="P71" i="31"/>
  <c r="O71" i="31"/>
  <c r="N71" i="31"/>
  <c r="M71" i="31"/>
  <c r="F71" i="31"/>
  <c r="E71" i="31"/>
  <c r="D71" i="31"/>
  <c r="C71" i="31"/>
  <c r="B71" i="31"/>
  <c r="A71" i="31"/>
  <c r="R71" i="31" s="1"/>
  <c r="X70" i="31"/>
  <c r="W70" i="31"/>
  <c r="P70" i="31"/>
  <c r="O70" i="31"/>
  <c r="N70" i="31"/>
  <c r="M70" i="31"/>
  <c r="F70" i="31"/>
  <c r="E70" i="31"/>
  <c r="D70" i="31"/>
  <c r="C70" i="31"/>
  <c r="B70" i="31"/>
  <c r="A70" i="31"/>
  <c r="R70" i="31" s="1"/>
  <c r="X69" i="31"/>
  <c r="W69" i="31"/>
  <c r="P69" i="31"/>
  <c r="O69" i="31"/>
  <c r="N69" i="31"/>
  <c r="M69" i="31"/>
  <c r="F69" i="31"/>
  <c r="E69" i="31"/>
  <c r="D69" i="31"/>
  <c r="C69" i="31"/>
  <c r="B69" i="31"/>
  <c r="A69" i="31"/>
  <c r="R69" i="31" s="1"/>
  <c r="X68" i="31"/>
  <c r="W68" i="31"/>
  <c r="P68" i="31"/>
  <c r="O68" i="31"/>
  <c r="N68" i="31"/>
  <c r="M68" i="31"/>
  <c r="F68" i="31"/>
  <c r="E68" i="31"/>
  <c r="D68" i="31"/>
  <c r="C68" i="31"/>
  <c r="B68" i="31"/>
  <c r="A68" i="31"/>
  <c r="R68" i="31" s="1"/>
  <c r="X67" i="31"/>
  <c r="W67" i="31"/>
  <c r="P67" i="31"/>
  <c r="O67" i="31"/>
  <c r="N67" i="31"/>
  <c r="M67" i="31"/>
  <c r="F67" i="31"/>
  <c r="E67" i="31"/>
  <c r="D67" i="31"/>
  <c r="C67" i="31"/>
  <c r="B67" i="31"/>
  <c r="A67" i="31"/>
  <c r="R67" i="31" s="1"/>
  <c r="X66" i="31"/>
  <c r="W66" i="31"/>
  <c r="P66" i="31"/>
  <c r="O66" i="31"/>
  <c r="N66" i="31"/>
  <c r="M66" i="31"/>
  <c r="F66" i="31"/>
  <c r="E66" i="31"/>
  <c r="D66" i="31"/>
  <c r="C66" i="31"/>
  <c r="B66" i="31"/>
  <c r="A66" i="31"/>
  <c r="R66" i="31" s="1"/>
  <c r="X53" i="31"/>
  <c r="W53" i="31"/>
  <c r="P53" i="31"/>
  <c r="O53" i="31"/>
  <c r="N53" i="31"/>
  <c r="M53" i="31"/>
  <c r="G53" i="31"/>
  <c r="F53" i="31"/>
  <c r="E53" i="31"/>
  <c r="D53" i="31"/>
  <c r="C53" i="31"/>
  <c r="B53" i="31"/>
  <c r="A53" i="31"/>
  <c r="R53" i="31" s="1"/>
  <c r="X52" i="31"/>
  <c r="W52" i="31"/>
  <c r="P52" i="31"/>
  <c r="O52" i="31"/>
  <c r="N52" i="31"/>
  <c r="M52" i="31"/>
  <c r="G52" i="31"/>
  <c r="F52" i="31"/>
  <c r="E52" i="31"/>
  <c r="D52" i="31"/>
  <c r="C52" i="31"/>
  <c r="B52" i="31"/>
  <c r="A52" i="31"/>
  <c r="R52" i="31" s="1"/>
  <c r="X51" i="31"/>
  <c r="W51" i="31"/>
  <c r="P51" i="31"/>
  <c r="O51" i="31"/>
  <c r="N51" i="31"/>
  <c r="M51" i="31"/>
  <c r="G51" i="31"/>
  <c r="F51" i="31"/>
  <c r="E51" i="31"/>
  <c r="D51" i="31"/>
  <c r="C51" i="31"/>
  <c r="B51" i="31"/>
  <c r="A51" i="31"/>
  <c r="R51" i="31" s="1"/>
  <c r="X50" i="31"/>
  <c r="W50" i="31"/>
  <c r="P50" i="31"/>
  <c r="O50" i="31"/>
  <c r="N50" i="31"/>
  <c r="M50" i="31"/>
  <c r="G50" i="31"/>
  <c r="F50" i="31"/>
  <c r="E50" i="31"/>
  <c r="D50" i="31"/>
  <c r="C50" i="31"/>
  <c r="B50" i="31"/>
  <c r="A50" i="31"/>
  <c r="R50" i="31" s="1"/>
  <c r="X49" i="31"/>
  <c r="W49" i="31"/>
  <c r="P49" i="31"/>
  <c r="O49" i="31"/>
  <c r="N49" i="31"/>
  <c r="M49" i="31"/>
  <c r="G49" i="31"/>
  <c r="F49" i="31"/>
  <c r="E49" i="31"/>
  <c r="D49" i="31"/>
  <c r="C49" i="31"/>
  <c r="B49" i="31"/>
  <c r="A49" i="31"/>
  <c r="R49" i="31" s="1"/>
  <c r="X48" i="31"/>
  <c r="W48" i="31"/>
  <c r="P48" i="31"/>
  <c r="O48" i="31"/>
  <c r="N48" i="31"/>
  <c r="M48" i="31"/>
  <c r="G48" i="31"/>
  <c r="F48" i="31"/>
  <c r="E48" i="31"/>
  <c r="D48" i="31"/>
  <c r="C48" i="31"/>
  <c r="B48" i="31"/>
  <c r="A48" i="31"/>
  <c r="R48" i="31" s="1"/>
  <c r="X47" i="31"/>
  <c r="W47" i="31"/>
  <c r="P47" i="31"/>
  <c r="O47" i="31"/>
  <c r="N47" i="31"/>
  <c r="M47" i="31"/>
  <c r="G47" i="31"/>
  <c r="F47" i="31"/>
  <c r="E47" i="31"/>
  <c r="D47" i="31"/>
  <c r="C47" i="31"/>
  <c r="B47" i="31"/>
  <c r="A47" i="31"/>
  <c r="R47" i="31" s="1"/>
  <c r="X46" i="31"/>
  <c r="W46" i="31"/>
  <c r="P46" i="31"/>
  <c r="O46" i="31"/>
  <c r="N46" i="31"/>
  <c r="M46" i="31"/>
  <c r="G46" i="31"/>
  <c r="F46" i="31"/>
  <c r="E46" i="31"/>
  <c r="D46" i="31"/>
  <c r="C46" i="31"/>
  <c r="B46" i="31"/>
  <c r="A46" i="31"/>
  <c r="R46" i="31" s="1"/>
  <c r="X45" i="31"/>
  <c r="W45" i="31"/>
  <c r="P45" i="31"/>
  <c r="O45" i="31"/>
  <c r="N45" i="31"/>
  <c r="M45" i="31"/>
  <c r="G45" i="31"/>
  <c r="F45" i="31"/>
  <c r="E45" i="31"/>
  <c r="D45" i="31"/>
  <c r="C45" i="31"/>
  <c r="B45" i="31"/>
  <c r="A45" i="31"/>
  <c r="R45" i="31" s="1"/>
  <c r="X44" i="31"/>
  <c r="W44" i="31"/>
  <c r="P44" i="31"/>
  <c r="O44" i="31"/>
  <c r="N44" i="31"/>
  <c r="M44" i="31"/>
  <c r="G44" i="31"/>
  <c r="F44" i="31"/>
  <c r="E44" i="31"/>
  <c r="D44" i="31"/>
  <c r="C44" i="31"/>
  <c r="B44" i="31"/>
  <c r="A44" i="31"/>
  <c r="R44" i="31" s="1"/>
  <c r="X43" i="31"/>
  <c r="W43" i="31"/>
  <c r="P43" i="31"/>
  <c r="O43" i="31"/>
  <c r="N43" i="31"/>
  <c r="M43" i="31"/>
  <c r="G43" i="31"/>
  <c r="F43" i="31"/>
  <c r="E43" i="31"/>
  <c r="D43" i="31"/>
  <c r="C43" i="31"/>
  <c r="B43" i="31"/>
  <c r="A43" i="31"/>
  <c r="R43" i="31" s="1"/>
  <c r="X42" i="31"/>
  <c r="W42" i="31"/>
  <c r="P42" i="31"/>
  <c r="O42" i="31"/>
  <c r="N42" i="31"/>
  <c r="M42" i="31"/>
  <c r="G42" i="31"/>
  <c r="F42" i="31"/>
  <c r="E42" i="31"/>
  <c r="D42" i="31"/>
  <c r="C42" i="31"/>
  <c r="B42" i="31"/>
  <c r="A42" i="31"/>
  <c r="R42" i="31" s="1"/>
  <c r="X41" i="31"/>
  <c r="W41" i="31"/>
  <c r="P41" i="31"/>
  <c r="O41" i="31"/>
  <c r="N41" i="31"/>
  <c r="M41" i="31"/>
  <c r="G41" i="31"/>
  <c r="F41" i="31"/>
  <c r="E41" i="31"/>
  <c r="D41" i="31"/>
  <c r="C41" i="31"/>
  <c r="B41" i="31"/>
  <c r="A41" i="31"/>
  <c r="R41" i="31" s="1"/>
  <c r="X40" i="31"/>
  <c r="W40" i="31"/>
  <c r="P40" i="31"/>
  <c r="O40" i="31"/>
  <c r="N40" i="31"/>
  <c r="M40" i="31"/>
  <c r="G40" i="31"/>
  <c r="F40" i="31"/>
  <c r="E40" i="31"/>
  <c r="D40" i="31"/>
  <c r="C40" i="31"/>
  <c r="B40" i="31"/>
  <c r="A40" i="31"/>
  <c r="R40" i="31" s="1"/>
  <c r="X39" i="31"/>
  <c r="W39" i="31"/>
  <c r="P39" i="31"/>
  <c r="O39" i="31"/>
  <c r="N39" i="31"/>
  <c r="M39" i="31"/>
  <c r="G39" i="31"/>
  <c r="F39" i="31"/>
  <c r="E39" i="31"/>
  <c r="D39" i="31"/>
  <c r="C39" i="31"/>
  <c r="B39" i="31"/>
  <c r="A39" i="31"/>
  <c r="R39" i="31" s="1"/>
  <c r="X38" i="31"/>
  <c r="W38" i="31"/>
  <c r="P38" i="31"/>
  <c r="O38" i="31"/>
  <c r="N38" i="31"/>
  <c r="M38" i="31"/>
  <c r="H38" i="31"/>
  <c r="G38" i="31"/>
  <c r="F38" i="31"/>
  <c r="E38" i="31"/>
  <c r="D38" i="31"/>
  <c r="C38" i="31"/>
  <c r="B38" i="31"/>
  <c r="A38" i="31"/>
  <c r="R38" i="31" s="1"/>
  <c r="X37" i="31"/>
  <c r="W37" i="31"/>
  <c r="P37" i="31"/>
  <c r="O37" i="31"/>
  <c r="N37" i="31"/>
  <c r="M37" i="31"/>
  <c r="G37" i="31"/>
  <c r="F37" i="31"/>
  <c r="E37" i="31"/>
  <c r="D37" i="31"/>
  <c r="C37" i="31"/>
  <c r="B37" i="31"/>
  <c r="A37" i="31"/>
  <c r="R37" i="31" s="1"/>
  <c r="X26" i="31"/>
  <c r="W26" i="31"/>
  <c r="P26" i="31"/>
  <c r="O26" i="31"/>
  <c r="N26" i="31"/>
  <c r="M26" i="31"/>
  <c r="H26" i="31"/>
  <c r="F26" i="31"/>
  <c r="E26" i="31"/>
  <c r="D26" i="31"/>
  <c r="C26" i="31"/>
  <c r="B26" i="31"/>
  <c r="A26" i="31"/>
  <c r="R26" i="31" s="1"/>
  <c r="X25" i="31"/>
  <c r="W25" i="31"/>
  <c r="P25" i="31"/>
  <c r="O25" i="31"/>
  <c r="N25" i="31"/>
  <c r="M25" i="31"/>
  <c r="H25" i="31"/>
  <c r="F25" i="31"/>
  <c r="E25" i="31"/>
  <c r="D25" i="31"/>
  <c r="C25" i="31"/>
  <c r="B25" i="31"/>
  <c r="A25" i="31"/>
  <c r="R25" i="31" s="1"/>
  <c r="X24" i="31"/>
  <c r="W24" i="31"/>
  <c r="P24" i="31"/>
  <c r="O24" i="31"/>
  <c r="N24" i="31"/>
  <c r="M24" i="31"/>
  <c r="H24" i="31"/>
  <c r="F24" i="31"/>
  <c r="E24" i="31"/>
  <c r="D24" i="31"/>
  <c r="C24" i="31"/>
  <c r="B24" i="31"/>
  <c r="A24" i="31"/>
  <c r="R24" i="31" s="1"/>
  <c r="X23" i="31"/>
  <c r="W23" i="31"/>
  <c r="P23" i="31"/>
  <c r="O23" i="31"/>
  <c r="N23" i="31"/>
  <c r="M23" i="31"/>
  <c r="H23" i="31"/>
  <c r="F23" i="31"/>
  <c r="E23" i="31"/>
  <c r="D23" i="31"/>
  <c r="C23" i="31"/>
  <c r="B23" i="31"/>
  <c r="A23" i="31"/>
  <c r="R23" i="31" s="1"/>
  <c r="X22" i="31"/>
  <c r="W22" i="31"/>
  <c r="P22" i="31"/>
  <c r="O22" i="31"/>
  <c r="N22" i="31"/>
  <c r="M22" i="31"/>
  <c r="H22" i="31"/>
  <c r="F22" i="31"/>
  <c r="E22" i="31"/>
  <c r="D22" i="31"/>
  <c r="C22" i="31"/>
  <c r="B22" i="31"/>
  <c r="A22" i="31"/>
  <c r="R22" i="31" s="1"/>
  <c r="X21" i="31"/>
  <c r="W21" i="31"/>
  <c r="P21" i="31"/>
  <c r="O21" i="31"/>
  <c r="N21" i="31"/>
  <c r="M21" i="31"/>
  <c r="H21" i="31"/>
  <c r="F21" i="31"/>
  <c r="E21" i="31"/>
  <c r="D21" i="31"/>
  <c r="C21" i="31"/>
  <c r="B21" i="31"/>
  <c r="A21" i="31"/>
  <c r="R21" i="31" s="1"/>
  <c r="X20" i="31"/>
  <c r="W20" i="31"/>
  <c r="P20" i="31"/>
  <c r="O20" i="31"/>
  <c r="N20" i="31"/>
  <c r="M20" i="31"/>
  <c r="H20" i="31"/>
  <c r="F20" i="31"/>
  <c r="E20" i="31"/>
  <c r="D20" i="31"/>
  <c r="C20" i="31"/>
  <c r="B20" i="31"/>
  <c r="A20" i="31"/>
  <c r="R20" i="31" s="1"/>
  <c r="X19" i="31"/>
  <c r="W19" i="31"/>
  <c r="P19" i="31"/>
  <c r="O19" i="31"/>
  <c r="N19" i="31"/>
  <c r="M19" i="31"/>
  <c r="H19" i="31"/>
  <c r="F19" i="31"/>
  <c r="E19" i="31"/>
  <c r="D19" i="31"/>
  <c r="C19" i="31"/>
  <c r="B19" i="31"/>
  <c r="A19" i="31"/>
  <c r="R19" i="31" s="1"/>
  <c r="X18" i="31"/>
  <c r="W18" i="31"/>
  <c r="P18" i="31"/>
  <c r="O18" i="31"/>
  <c r="N18" i="31"/>
  <c r="M18" i="31"/>
  <c r="H18" i="31"/>
  <c r="F18" i="31"/>
  <c r="E18" i="31"/>
  <c r="D18" i="31"/>
  <c r="C18" i="31"/>
  <c r="B18" i="31"/>
  <c r="A18" i="31"/>
  <c r="R18" i="31" s="1"/>
  <c r="X17" i="31"/>
  <c r="W17" i="31"/>
  <c r="P17" i="31"/>
  <c r="O17" i="31"/>
  <c r="N17" i="31"/>
  <c r="M17" i="31"/>
  <c r="H17" i="31"/>
  <c r="F17" i="31"/>
  <c r="E17" i="31"/>
  <c r="D17" i="31"/>
  <c r="C17" i="31"/>
  <c r="B17" i="31"/>
  <c r="A17" i="31"/>
  <c r="R17" i="31" s="1"/>
  <c r="X16" i="31"/>
  <c r="W16" i="31"/>
  <c r="P16" i="31"/>
  <c r="O16" i="31"/>
  <c r="N16" i="31"/>
  <c r="M16" i="31"/>
  <c r="H16" i="31"/>
  <c r="F16" i="31"/>
  <c r="E16" i="31"/>
  <c r="D16" i="31"/>
  <c r="C16" i="31"/>
  <c r="B16" i="31"/>
  <c r="A16" i="31"/>
  <c r="R16" i="31" s="1"/>
  <c r="X15" i="31"/>
  <c r="W15" i="31"/>
  <c r="P15" i="31"/>
  <c r="O15" i="31"/>
  <c r="N15" i="31"/>
  <c r="M15" i="31"/>
  <c r="H15" i="31"/>
  <c r="F15" i="31"/>
  <c r="E15" i="31"/>
  <c r="D15" i="31"/>
  <c r="C15" i="31"/>
  <c r="B15" i="31"/>
  <c r="A15" i="31"/>
  <c r="R15" i="31" s="1"/>
  <c r="X14" i="31"/>
  <c r="W14" i="31"/>
  <c r="P14" i="31"/>
  <c r="O14" i="31"/>
  <c r="N14" i="31"/>
  <c r="M14" i="31"/>
  <c r="H14" i="31"/>
  <c r="F14" i="31"/>
  <c r="E14" i="31"/>
  <c r="D14" i="31"/>
  <c r="C14" i="31"/>
  <c r="B14" i="31"/>
  <c r="A14" i="31"/>
  <c r="R14" i="31" s="1"/>
  <c r="X13" i="31"/>
  <c r="W13" i="31"/>
  <c r="P13" i="31"/>
  <c r="O13" i="31"/>
  <c r="N13" i="31"/>
  <c r="M13" i="31"/>
  <c r="H13" i="31"/>
  <c r="F13" i="31"/>
  <c r="E13" i="31"/>
  <c r="D13" i="31"/>
  <c r="C13" i="31"/>
  <c r="B13" i="31"/>
  <c r="A13" i="31"/>
  <c r="R13" i="31" s="1"/>
  <c r="X12" i="31"/>
  <c r="W12" i="31"/>
  <c r="P12" i="31"/>
  <c r="O12" i="31"/>
  <c r="N12" i="31"/>
  <c r="M12" i="31"/>
  <c r="H12" i="31"/>
  <c r="F12" i="31"/>
  <c r="E12" i="31"/>
  <c r="D12" i="31"/>
  <c r="C12" i="31"/>
  <c r="B12" i="31"/>
  <c r="A12" i="31"/>
  <c r="R12" i="31" s="1"/>
  <c r="X11" i="31"/>
  <c r="W11" i="31"/>
  <c r="P11" i="31"/>
  <c r="O11" i="31"/>
  <c r="N11" i="31"/>
  <c r="M11" i="31"/>
  <c r="H11" i="31"/>
  <c r="F11" i="31"/>
  <c r="E11" i="31"/>
  <c r="D11" i="31"/>
  <c r="C11" i="31"/>
  <c r="B11" i="31"/>
  <c r="A11" i="31"/>
  <c r="R11" i="31" s="1"/>
  <c r="X10" i="31"/>
  <c r="W10" i="31"/>
  <c r="P10" i="31"/>
  <c r="O10" i="31"/>
  <c r="N10" i="31"/>
  <c r="M10" i="31"/>
  <c r="H10" i="31"/>
  <c r="F10" i="31"/>
  <c r="E10" i="31"/>
  <c r="D10" i="31"/>
  <c r="C10" i="31"/>
  <c r="B10" i="31"/>
  <c r="A10" i="31"/>
  <c r="R10" i="31" s="1"/>
  <c r="X9" i="31"/>
  <c r="W9" i="31"/>
  <c r="P9" i="31"/>
  <c r="O9" i="31"/>
  <c r="N9" i="31"/>
  <c r="M9" i="31"/>
  <c r="H9" i="31"/>
  <c r="F9" i="31"/>
  <c r="E9" i="31"/>
  <c r="D9" i="31"/>
  <c r="C9" i="31"/>
  <c r="B9" i="31"/>
  <c r="A9" i="31"/>
  <c r="R9" i="31" s="1"/>
  <c r="X8" i="31"/>
  <c r="W8" i="31"/>
  <c r="P8" i="31"/>
  <c r="O8" i="31"/>
  <c r="N8" i="31"/>
  <c r="M8" i="31"/>
  <c r="H8" i="31"/>
  <c r="F8" i="31"/>
  <c r="E8" i="31"/>
  <c r="D8" i="31"/>
  <c r="C8" i="31"/>
  <c r="B8" i="31"/>
  <c r="A8" i="31"/>
  <c r="R8" i="31" s="1"/>
  <c r="R76" i="31"/>
  <c r="T79" i="28"/>
  <c r="T53" i="28"/>
  <c r="T28" i="28"/>
  <c r="Q55" i="31" l="1"/>
  <c r="Q56" i="31"/>
  <c r="I54" i="31"/>
  <c r="J54" i="31" s="1"/>
  <c r="I55" i="31"/>
  <c r="K55" i="31" s="1"/>
  <c r="I56" i="31"/>
  <c r="K56" i="31" s="1"/>
  <c r="L56" i="31" s="1"/>
  <c r="J56" i="31"/>
  <c r="K54" i="31"/>
  <c r="L54" i="31" s="1"/>
  <c r="Q72" i="31"/>
  <c r="I27" i="31"/>
  <c r="J27" i="31" s="1"/>
  <c r="I28" i="31"/>
  <c r="K28" i="31" s="1"/>
  <c r="L28" i="31" s="1"/>
  <c r="Q27" i="31"/>
  <c r="Q9" i="31"/>
  <c r="Q17" i="31"/>
  <c r="I10" i="31"/>
  <c r="K10" i="31" s="1"/>
  <c r="L10" i="31" s="1"/>
  <c r="I18" i="31"/>
  <c r="K18" i="31" s="1"/>
  <c r="L18" i="31" s="1"/>
  <c r="Q46" i="31"/>
  <c r="Q28" i="31"/>
  <c r="Q43" i="31"/>
  <c r="Q51" i="31"/>
  <c r="Q66" i="31"/>
  <c r="Q70" i="31"/>
  <c r="Q37" i="31"/>
  <c r="Q48" i="31"/>
  <c r="I52" i="31"/>
  <c r="K52" i="31" s="1"/>
  <c r="L52" i="31" s="1"/>
  <c r="Q25" i="31"/>
  <c r="I26" i="31"/>
  <c r="K26" i="31" s="1"/>
  <c r="L26" i="31" s="1"/>
  <c r="Q38" i="31"/>
  <c r="Q45" i="31"/>
  <c r="Q53" i="31"/>
  <c r="I67" i="31"/>
  <c r="K67" i="31" s="1"/>
  <c r="L67" i="31" s="1"/>
  <c r="Q69" i="31"/>
  <c r="I73" i="31"/>
  <c r="K73" i="31" s="1"/>
  <c r="L73" i="31" s="1"/>
  <c r="I44" i="31"/>
  <c r="J44" i="31" s="1"/>
  <c r="I12" i="31"/>
  <c r="K12" i="31" s="1"/>
  <c r="L12" i="31" s="1"/>
  <c r="Q21" i="31"/>
  <c r="I24" i="31"/>
  <c r="K24" i="31" s="1"/>
  <c r="L24" i="31" s="1"/>
  <c r="Q24" i="31"/>
  <c r="I15" i="31"/>
  <c r="K15" i="31" s="1"/>
  <c r="L15" i="31" s="1"/>
  <c r="Q26" i="31"/>
  <c r="I46" i="31"/>
  <c r="J46" i="31" s="1"/>
  <c r="Q50" i="31"/>
  <c r="I69" i="31"/>
  <c r="K69" i="31" s="1"/>
  <c r="L69" i="31" s="1"/>
  <c r="I47" i="31"/>
  <c r="J47" i="31" s="1"/>
  <c r="I76" i="31"/>
  <c r="J76" i="31" s="1"/>
  <c r="I13" i="31"/>
  <c r="J13" i="31" s="1"/>
  <c r="I37" i="31"/>
  <c r="J37" i="31" s="1"/>
  <c r="Q10" i="31"/>
  <c r="I16" i="31"/>
  <c r="K16" i="31" s="1"/>
  <c r="L16" i="31" s="1"/>
  <c r="Q76" i="31"/>
  <c r="I19" i="31"/>
  <c r="K19" i="31" s="1"/>
  <c r="Q11" i="31"/>
  <c r="Q19" i="31"/>
  <c r="I20" i="31"/>
  <c r="K20" i="31" s="1"/>
  <c r="L20" i="31" s="1"/>
  <c r="Q12" i="31"/>
  <c r="Q18" i="31"/>
  <c r="I9" i="31"/>
  <c r="J9" i="31" s="1"/>
  <c r="I17" i="31"/>
  <c r="K17" i="31" s="1"/>
  <c r="L17" i="31" s="1"/>
  <c r="I21" i="31"/>
  <c r="J21" i="31" s="1"/>
  <c r="I8" i="31"/>
  <c r="K8" i="31" s="1"/>
  <c r="L8" i="31" s="1"/>
  <c r="I11" i="31"/>
  <c r="K11" i="31" s="1"/>
  <c r="L11" i="31" s="1"/>
  <c r="Q20" i="31"/>
  <c r="I25" i="31"/>
  <c r="K25" i="31" s="1"/>
  <c r="L25" i="31" s="1"/>
  <c r="Q39" i="31"/>
  <c r="I43" i="31"/>
  <c r="K43" i="31" s="1"/>
  <c r="L43" i="31" s="1"/>
  <c r="Q44" i="31"/>
  <c r="I45" i="31"/>
  <c r="K45" i="31" s="1"/>
  <c r="L45" i="31" s="1"/>
  <c r="Q47" i="31"/>
  <c r="I51" i="31"/>
  <c r="J51" i="31" s="1"/>
  <c r="Q52" i="31"/>
  <c r="I53" i="31"/>
  <c r="J53" i="31" s="1"/>
  <c r="K66" i="31"/>
  <c r="L66" i="31" s="1"/>
  <c r="Q68" i="31"/>
  <c r="I70" i="31"/>
  <c r="K70" i="31" s="1"/>
  <c r="L70" i="31" s="1"/>
  <c r="I72" i="31"/>
  <c r="K72" i="31" s="1"/>
  <c r="L72" i="31" s="1"/>
  <c r="Q74" i="31"/>
  <c r="I23" i="31"/>
  <c r="K23" i="31" s="1"/>
  <c r="L23" i="31" s="1"/>
  <c r="Q49" i="31"/>
  <c r="Q67" i="31"/>
  <c r="I68" i="31"/>
  <c r="K68" i="31" s="1"/>
  <c r="Q71" i="31"/>
  <c r="Q73" i="31"/>
  <c r="I74" i="31"/>
  <c r="J74" i="31" s="1"/>
  <c r="Q75" i="31"/>
  <c r="I71" i="31"/>
  <c r="K71" i="31" s="1"/>
  <c r="L71" i="31" s="1"/>
  <c r="I75" i="31"/>
  <c r="K75" i="31" s="1"/>
  <c r="L75" i="31" s="1"/>
  <c r="Q13" i="31"/>
  <c r="J52" i="31"/>
  <c r="I39" i="31"/>
  <c r="Q40" i="31"/>
  <c r="Q41" i="31"/>
  <c r="Q42" i="31"/>
  <c r="I48" i="31"/>
  <c r="Q14" i="31"/>
  <c r="Q22" i="31"/>
  <c r="I40" i="31"/>
  <c r="I49" i="31"/>
  <c r="I50" i="31"/>
  <c r="I14" i="31"/>
  <c r="I22" i="31"/>
  <c r="I38" i="31"/>
  <c r="Q8" i="31"/>
  <c r="Q15" i="31"/>
  <c r="Q16" i="31"/>
  <c r="Q23" i="31"/>
  <c r="I41" i="31"/>
  <c r="I42" i="31"/>
  <c r="B75" i="28"/>
  <c r="C75" i="28"/>
  <c r="D75" i="28"/>
  <c r="E75" i="28"/>
  <c r="F75" i="28"/>
  <c r="G75" i="28"/>
  <c r="H75" i="28"/>
  <c r="M75" i="28"/>
  <c r="N75" i="28"/>
  <c r="O75" i="28"/>
  <c r="P75" i="28"/>
  <c r="W75" i="28"/>
  <c r="X75" i="28"/>
  <c r="B76" i="28"/>
  <c r="C76" i="28"/>
  <c r="D76" i="28"/>
  <c r="E76" i="28"/>
  <c r="F76" i="28"/>
  <c r="G76" i="28"/>
  <c r="H76" i="28"/>
  <c r="M76" i="28"/>
  <c r="N76" i="28"/>
  <c r="O76" i="28"/>
  <c r="P76" i="28"/>
  <c r="W76" i="28"/>
  <c r="X76" i="28"/>
  <c r="B77" i="28"/>
  <c r="C77" i="28"/>
  <c r="D77" i="28"/>
  <c r="E77" i="28"/>
  <c r="F77" i="28"/>
  <c r="G77" i="28"/>
  <c r="H77" i="28"/>
  <c r="M77" i="28"/>
  <c r="N77" i="28"/>
  <c r="O77" i="28"/>
  <c r="P77" i="28"/>
  <c r="W77" i="28"/>
  <c r="X77" i="28"/>
  <c r="B78" i="28"/>
  <c r="C78" i="28"/>
  <c r="D78" i="28"/>
  <c r="E78" i="28"/>
  <c r="F78" i="28"/>
  <c r="G78" i="28"/>
  <c r="H78" i="28"/>
  <c r="M78" i="28"/>
  <c r="N78" i="28"/>
  <c r="O78" i="28"/>
  <c r="P78" i="28"/>
  <c r="W78" i="28"/>
  <c r="X78" i="28"/>
  <c r="B79" i="28"/>
  <c r="C79" i="28"/>
  <c r="D79" i="28"/>
  <c r="E79" i="28"/>
  <c r="F79" i="28"/>
  <c r="G79" i="28"/>
  <c r="H79" i="28"/>
  <c r="M79" i="28"/>
  <c r="N79" i="28"/>
  <c r="O79" i="28"/>
  <c r="P79" i="28"/>
  <c r="W79" i="28"/>
  <c r="X79" i="28"/>
  <c r="A79" i="28"/>
  <c r="R79" i="28" s="1"/>
  <c r="A78" i="28"/>
  <c r="R78" i="28" s="1"/>
  <c r="A77" i="28"/>
  <c r="R77" i="28" s="1"/>
  <c r="A75" i="28"/>
  <c r="R75" i="28" s="1"/>
  <c r="A76" i="28"/>
  <c r="R76" i="28" s="1"/>
  <c r="M52" i="28"/>
  <c r="N52" i="28"/>
  <c r="O52" i="28"/>
  <c r="P52" i="28"/>
  <c r="W52" i="28"/>
  <c r="X52" i="28"/>
  <c r="M53" i="28"/>
  <c r="N53" i="28"/>
  <c r="O53" i="28"/>
  <c r="P53" i="28"/>
  <c r="W53" i="28"/>
  <c r="X53" i="28"/>
  <c r="A52" i="28"/>
  <c r="R52" i="28" s="1"/>
  <c r="B52" i="28"/>
  <c r="C52" i="28"/>
  <c r="D52" i="28"/>
  <c r="E52" i="28"/>
  <c r="F52" i="28"/>
  <c r="G52" i="28"/>
  <c r="A53" i="28"/>
  <c r="R53" i="28" s="1"/>
  <c r="B53" i="28"/>
  <c r="C53" i="28"/>
  <c r="D53" i="28"/>
  <c r="E53" i="28"/>
  <c r="F53" i="28"/>
  <c r="G53" i="28"/>
  <c r="W27" i="28"/>
  <c r="X27" i="28"/>
  <c r="W28" i="28"/>
  <c r="X28" i="28"/>
  <c r="A27" i="28"/>
  <c r="R27" i="28" s="1"/>
  <c r="B27" i="28"/>
  <c r="C27" i="28"/>
  <c r="D27" i="28"/>
  <c r="E27" i="28"/>
  <c r="F27" i="28"/>
  <c r="H27" i="28"/>
  <c r="M27" i="28"/>
  <c r="N27" i="28"/>
  <c r="O27" i="28"/>
  <c r="P27" i="28"/>
  <c r="A28" i="28"/>
  <c r="R28" i="28" s="1"/>
  <c r="B28" i="28"/>
  <c r="C28" i="28"/>
  <c r="D28" i="28"/>
  <c r="E28" i="28"/>
  <c r="F28" i="28"/>
  <c r="H28" i="28"/>
  <c r="M28" i="28"/>
  <c r="N28" i="28"/>
  <c r="O28" i="28"/>
  <c r="P28" i="28"/>
  <c r="S28" i="31" l="1"/>
  <c r="J55" i="31"/>
  <c r="S20" i="31"/>
  <c r="U20" i="31" s="1"/>
  <c r="K44" i="31"/>
  <c r="L44" i="31" s="1"/>
  <c r="K53" i="31"/>
  <c r="L53" i="31" s="1"/>
  <c r="L55" i="31"/>
  <c r="S55" i="31"/>
  <c r="U55" i="31" s="1"/>
  <c r="J18" i="31"/>
  <c r="S56" i="31"/>
  <c r="J28" i="31"/>
  <c r="K27" i="31"/>
  <c r="L27" i="31" s="1"/>
  <c r="S54" i="31"/>
  <c r="S12" i="31"/>
  <c r="U12" i="31" s="1"/>
  <c r="K76" i="31"/>
  <c r="L76" i="31" s="1"/>
  <c r="J12" i="31"/>
  <c r="J69" i="31"/>
  <c r="J10" i="31"/>
  <c r="S26" i="31"/>
  <c r="U26" i="31" s="1"/>
  <c r="K47" i="31"/>
  <c r="L47" i="31" s="1"/>
  <c r="J67" i="31"/>
  <c r="S70" i="31"/>
  <c r="U70" i="31" s="1"/>
  <c r="K37" i="31"/>
  <c r="L37" i="31" s="1"/>
  <c r="J15" i="31"/>
  <c r="J73" i="31"/>
  <c r="J26" i="31"/>
  <c r="K21" i="31"/>
  <c r="L21" i="31" s="1"/>
  <c r="K13" i="31"/>
  <c r="L13" i="31" s="1"/>
  <c r="K46" i="31"/>
  <c r="L46" i="31" s="1"/>
  <c r="J19" i="31"/>
  <c r="T28" i="31"/>
  <c r="V28" i="31" s="1"/>
  <c r="U28" i="31"/>
  <c r="K9" i="31"/>
  <c r="L9" i="31" s="1"/>
  <c r="S72" i="31"/>
  <c r="U72" i="31" s="1"/>
  <c r="K51" i="31"/>
  <c r="L51" i="31" s="1"/>
  <c r="S52" i="31"/>
  <c r="U52" i="31" s="1"/>
  <c r="J17" i="31"/>
  <c r="K74" i="31"/>
  <c r="L74" i="31" s="1"/>
  <c r="J20" i="31"/>
  <c r="J70" i="31"/>
  <c r="J16" i="31"/>
  <c r="J24" i="31"/>
  <c r="J43" i="31"/>
  <c r="S43" i="31" s="1"/>
  <c r="U43" i="31" s="1"/>
  <c r="J8" i="31"/>
  <c r="J25" i="31"/>
  <c r="S25" i="31" s="1"/>
  <c r="J45" i="31"/>
  <c r="J66" i="31"/>
  <c r="S67" i="31"/>
  <c r="U67" i="31" s="1"/>
  <c r="L68" i="31"/>
  <c r="S68" i="31"/>
  <c r="U68" i="31" s="1"/>
  <c r="L19" i="31"/>
  <c r="S19" i="31"/>
  <c r="U19" i="31" s="1"/>
  <c r="J68" i="31"/>
  <c r="J11" i="31"/>
  <c r="J72" i="31"/>
  <c r="S73" i="31"/>
  <c r="U73" i="31" s="1"/>
  <c r="J75" i="31"/>
  <c r="S11" i="31"/>
  <c r="U11" i="31" s="1"/>
  <c r="J23" i="31"/>
  <c r="S23" i="31" s="1"/>
  <c r="U23" i="31" s="1"/>
  <c r="J71" i="31"/>
  <c r="S71" i="31" s="1"/>
  <c r="T71" i="31" s="1"/>
  <c r="V71" i="31" s="1"/>
  <c r="S45" i="31"/>
  <c r="S44" i="31"/>
  <c r="U44" i="31" s="1"/>
  <c r="S24" i="31"/>
  <c r="U24" i="31" s="1"/>
  <c r="T20" i="31"/>
  <c r="V20" i="31" s="1"/>
  <c r="J39" i="31"/>
  <c r="K39" i="31"/>
  <c r="K50" i="31"/>
  <c r="J50" i="31"/>
  <c r="K49" i="31"/>
  <c r="J49" i="31"/>
  <c r="S8" i="31"/>
  <c r="U8" i="31" s="1"/>
  <c r="K48" i="31"/>
  <c r="J48" i="31"/>
  <c r="K40" i="31"/>
  <c r="L40" i="31" s="1"/>
  <c r="J40" i="31"/>
  <c r="S15" i="31"/>
  <c r="U15" i="31" s="1"/>
  <c r="K42" i="31"/>
  <c r="L42" i="31" s="1"/>
  <c r="J42" i="31"/>
  <c r="S66" i="31"/>
  <c r="S75" i="31"/>
  <c r="S17" i="31"/>
  <c r="S16" i="31"/>
  <c r="U16" i="31" s="1"/>
  <c r="J22" i="31"/>
  <c r="K22" i="31"/>
  <c r="L22" i="31" s="1"/>
  <c r="K41" i="31"/>
  <c r="L41" i="31" s="1"/>
  <c r="J41" i="31"/>
  <c r="J14" i="31"/>
  <c r="K14" i="31"/>
  <c r="L14" i="31" s="1"/>
  <c r="S18" i="31"/>
  <c r="K38" i="31"/>
  <c r="J38" i="31"/>
  <c r="S69" i="31"/>
  <c r="S53" i="31"/>
  <c r="S10" i="31"/>
  <c r="I77" i="28"/>
  <c r="J77" i="28" s="1"/>
  <c r="Q77" i="28"/>
  <c r="Q79" i="28"/>
  <c r="I79" i="28"/>
  <c r="J79" i="28" s="1"/>
  <c r="Q76" i="28"/>
  <c r="I78" i="28"/>
  <c r="J78" i="28" s="1"/>
  <c r="Q75" i="28"/>
  <c r="I75" i="28"/>
  <c r="K75" i="28" s="1"/>
  <c r="L75" i="28" s="1"/>
  <c r="Q78" i="28"/>
  <c r="I76" i="28"/>
  <c r="K76" i="28" s="1"/>
  <c r="L76" i="28" s="1"/>
  <c r="K77" i="28"/>
  <c r="L77" i="28" s="1"/>
  <c r="I53" i="28"/>
  <c r="K53" i="28" s="1"/>
  <c r="L53" i="28" s="1"/>
  <c r="I52" i="28"/>
  <c r="K52" i="28" s="1"/>
  <c r="Q52" i="28"/>
  <c r="Q28" i="28"/>
  <c r="Q53" i="28"/>
  <c r="J52" i="28"/>
  <c r="I27" i="28"/>
  <c r="J27" i="28" s="1"/>
  <c r="Q27" i="28"/>
  <c r="I28" i="28"/>
  <c r="J28" i="28" s="1"/>
  <c r="S76" i="31" l="1"/>
  <c r="S37" i="31"/>
  <c r="U37" i="31" s="1"/>
  <c r="T55" i="31"/>
  <c r="V55" i="31" s="1"/>
  <c r="S27" i="31"/>
  <c r="T27" i="31" s="1"/>
  <c r="V27" i="31" s="1"/>
  <c r="T26" i="31"/>
  <c r="V26" i="31" s="1"/>
  <c r="S9" i="31"/>
  <c r="U9" i="31" s="1"/>
  <c r="S47" i="31"/>
  <c r="U47" i="31" s="1"/>
  <c r="T12" i="31"/>
  <c r="V12" i="31" s="1"/>
  <c r="T56" i="31"/>
  <c r="V56" i="31" s="1"/>
  <c r="U56" i="31"/>
  <c r="T70" i="31"/>
  <c r="V70" i="31" s="1"/>
  <c r="S74" i="31"/>
  <c r="U74" i="31" s="1"/>
  <c r="T54" i="31"/>
  <c r="V54" i="31" s="1"/>
  <c r="U54" i="31"/>
  <c r="S21" i="31"/>
  <c r="U21" i="31" s="1"/>
  <c r="S13" i="31"/>
  <c r="U13" i="31" s="1"/>
  <c r="T52" i="31"/>
  <c r="V52" i="31" s="1"/>
  <c r="T72" i="31"/>
  <c r="V72" i="31" s="1"/>
  <c r="S46" i="31"/>
  <c r="U46" i="31" s="1"/>
  <c r="S51" i="31"/>
  <c r="U51" i="31" s="1"/>
  <c r="U27" i="31"/>
  <c r="T73" i="31"/>
  <c r="V73" i="31" s="1"/>
  <c r="T67" i="31"/>
  <c r="V67" i="31" s="1"/>
  <c r="S22" i="31"/>
  <c r="U22" i="31" s="1"/>
  <c r="T19" i="31"/>
  <c r="V19" i="31" s="1"/>
  <c r="T11" i="31"/>
  <c r="V11" i="31" s="1"/>
  <c r="T15" i="31"/>
  <c r="V15" i="31" s="1"/>
  <c r="T24" i="31"/>
  <c r="V24" i="31" s="1"/>
  <c r="T68" i="31"/>
  <c r="V68" i="31" s="1"/>
  <c r="S14" i="31"/>
  <c r="U14" i="31" s="1"/>
  <c r="T44" i="31"/>
  <c r="V44" i="31" s="1"/>
  <c r="U71" i="31"/>
  <c r="T16" i="31"/>
  <c r="V16" i="31" s="1"/>
  <c r="T43" i="31"/>
  <c r="V43" i="31" s="1"/>
  <c r="U45" i="31"/>
  <c r="T45" i="31"/>
  <c r="V45" i="31" s="1"/>
  <c r="T37" i="31"/>
  <c r="V37" i="31" s="1"/>
  <c r="U10" i="31"/>
  <c r="T10" i="31"/>
  <c r="V10" i="31" s="1"/>
  <c r="U17" i="31"/>
  <c r="T17" i="31"/>
  <c r="V17" i="31" s="1"/>
  <c r="T23" i="31"/>
  <c r="V23" i="31" s="1"/>
  <c r="L48" i="31"/>
  <c r="S48" i="31"/>
  <c r="L39" i="31"/>
  <c r="S39" i="31"/>
  <c r="S40" i="31"/>
  <c r="S38" i="31"/>
  <c r="L38" i="31"/>
  <c r="S42" i="31"/>
  <c r="U76" i="31"/>
  <c r="T76" i="31"/>
  <c r="V76" i="31" s="1"/>
  <c r="L49" i="31"/>
  <c r="S49" i="31"/>
  <c r="U75" i="31"/>
  <c r="T75" i="31"/>
  <c r="V75" i="31" s="1"/>
  <c r="U25" i="31"/>
  <c r="T25" i="31"/>
  <c r="V25" i="31" s="1"/>
  <c r="U69" i="31"/>
  <c r="T69" i="31"/>
  <c r="V69" i="31" s="1"/>
  <c r="U66" i="31"/>
  <c r="T66" i="31"/>
  <c r="V66" i="31" s="1"/>
  <c r="L50" i="31"/>
  <c r="S50" i="31"/>
  <c r="U18" i="31"/>
  <c r="T18" i="31"/>
  <c r="V18" i="31" s="1"/>
  <c r="T53" i="31"/>
  <c r="V53" i="31" s="1"/>
  <c r="U53" i="31"/>
  <c r="S41" i="31"/>
  <c r="T8" i="31"/>
  <c r="V8" i="31" s="1"/>
  <c r="K28" i="28"/>
  <c r="L28" i="28" s="1"/>
  <c r="J75" i="28"/>
  <c r="K79" i="28"/>
  <c r="L79" i="28" s="1"/>
  <c r="J53" i="28"/>
  <c r="K78" i="28"/>
  <c r="L78" i="28" s="1"/>
  <c r="J76" i="28"/>
  <c r="S77" i="28"/>
  <c r="S75" i="28"/>
  <c r="S76" i="28"/>
  <c r="S53" i="28"/>
  <c r="U53" i="28" s="1"/>
  <c r="L52" i="28"/>
  <c r="S52" i="28"/>
  <c r="K27" i="28"/>
  <c r="L27" i="28" s="1"/>
  <c r="S27" i="28"/>
  <c r="S28" i="28"/>
  <c r="T47" i="31" l="1"/>
  <c r="V47" i="31" s="1"/>
  <c r="T9" i="31"/>
  <c r="V9" i="31" s="1"/>
  <c r="T21" i="31"/>
  <c r="V21" i="31" s="1"/>
  <c r="T74" i="31"/>
  <c r="V74" i="31" s="1"/>
  <c r="T13" i="31"/>
  <c r="V13" i="31" s="1"/>
  <c r="T51" i="31"/>
  <c r="V51" i="31" s="1"/>
  <c r="T46" i="31"/>
  <c r="V46" i="31" s="1"/>
  <c r="T22" i="31"/>
  <c r="V22" i="31" s="1"/>
  <c r="T14" i="31"/>
  <c r="V14" i="31" s="1"/>
  <c r="U50" i="31"/>
  <c r="T50" i="31"/>
  <c r="V50" i="31" s="1"/>
  <c r="U39" i="31"/>
  <c r="T39" i="31"/>
  <c r="V39" i="31" s="1"/>
  <c r="U41" i="31"/>
  <c r="T41" i="31"/>
  <c r="V41" i="31" s="1"/>
  <c r="U42" i="31"/>
  <c r="T42" i="31"/>
  <c r="V42" i="31" s="1"/>
  <c r="U49" i="31"/>
  <c r="T49" i="31"/>
  <c r="V49" i="31" s="1"/>
  <c r="U48" i="31"/>
  <c r="T48" i="31"/>
  <c r="V48" i="31" s="1"/>
  <c r="U38" i="31"/>
  <c r="T38" i="31"/>
  <c r="V38" i="31" s="1"/>
  <c r="U40" i="31"/>
  <c r="T40" i="31"/>
  <c r="V40" i="31" s="1"/>
  <c r="V53" i="28"/>
  <c r="S79" i="28"/>
  <c r="V79" i="28" s="1"/>
  <c r="S78" i="28"/>
  <c r="U78" i="28" s="1"/>
  <c r="U75" i="28"/>
  <c r="T75" i="28"/>
  <c r="V75" i="28" s="1"/>
  <c r="U76" i="28"/>
  <c r="T76" i="28"/>
  <c r="V76" i="28" s="1"/>
  <c r="U79" i="28"/>
  <c r="U77" i="28"/>
  <c r="T77" i="28"/>
  <c r="V77" i="28" s="1"/>
  <c r="U52" i="28"/>
  <c r="T52" i="28"/>
  <c r="V52" i="28" s="1"/>
  <c r="U28" i="28"/>
  <c r="V28" i="28"/>
  <c r="U27" i="28"/>
  <c r="T27" i="28"/>
  <c r="V27" i="28" s="1"/>
  <c r="T78" i="28" l="1"/>
  <c r="V78" i="28" s="1"/>
  <c r="X74" i="28" l="1"/>
  <c r="W74" i="28"/>
  <c r="P74" i="28"/>
  <c r="O74" i="28"/>
  <c r="N74" i="28"/>
  <c r="M74" i="28"/>
  <c r="H74" i="28"/>
  <c r="G74" i="28"/>
  <c r="F74" i="28"/>
  <c r="E74" i="28"/>
  <c r="D74" i="28"/>
  <c r="C74" i="28"/>
  <c r="B74" i="28"/>
  <c r="A74" i="28"/>
  <c r="X73" i="28"/>
  <c r="W73" i="28"/>
  <c r="P73" i="28"/>
  <c r="O73" i="28"/>
  <c r="N73" i="28"/>
  <c r="M73" i="28"/>
  <c r="H73" i="28"/>
  <c r="G73" i="28"/>
  <c r="F73" i="28"/>
  <c r="E73" i="28"/>
  <c r="D73" i="28"/>
  <c r="C73" i="28"/>
  <c r="B73" i="28"/>
  <c r="A73" i="28"/>
  <c r="X72" i="28"/>
  <c r="W72" i="28"/>
  <c r="P72" i="28"/>
  <c r="O72" i="28"/>
  <c r="N72" i="28"/>
  <c r="M72" i="28"/>
  <c r="H72" i="28"/>
  <c r="G72" i="28"/>
  <c r="F72" i="28"/>
  <c r="E72" i="28"/>
  <c r="D72" i="28"/>
  <c r="C72" i="28"/>
  <c r="B72" i="28"/>
  <c r="A72" i="28"/>
  <c r="X71" i="28"/>
  <c r="W71" i="28"/>
  <c r="P71" i="28"/>
  <c r="O71" i="28"/>
  <c r="N71" i="28"/>
  <c r="M71" i="28"/>
  <c r="H71" i="28"/>
  <c r="G71" i="28"/>
  <c r="F71" i="28"/>
  <c r="E71" i="28"/>
  <c r="D71" i="28"/>
  <c r="C71" i="28"/>
  <c r="B71" i="28"/>
  <c r="A71" i="28"/>
  <c r="X70" i="28"/>
  <c r="W70" i="28"/>
  <c r="P70" i="28"/>
  <c r="O70" i="28"/>
  <c r="N70" i="28"/>
  <c r="M70" i="28"/>
  <c r="H70" i="28"/>
  <c r="G70" i="28"/>
  <c r="F70" i="28"/>
  <c r="E70" i="28"/>
  <c r="D70" i="28"/>
  <c r="C70" i="28"/>
  <c r="B70" i="28"/>
  <c r="A70" i="28"/>
  <c r="X69" i="28"/>
  <c r="W69" i="28"/>
  <c r="P69" i="28"/>
  <c r="O69" i="28"/>
  <c r="N69" i="28"/>
  <c r="M69" i="28"/>
  <c r="H69" i="28"/>
  <c r="G69" i="28"/>
  <c r="F69" i="28"/>
  <c r="E69" i="28"/>
  <c r="D69" i="28"/>
  <c r="C69" i="28"/>
  <c r="B69" i="28"/>
  <c r="A69" i="28"/>
  <c r="X68" i="28"/>
  <c r="W68" i="28"/>
  <c r="P68" i="28"/>
  <c r="O68" i="28"/>
  <c r="N68" i="28"/>
  <c r="M68" i="28"/>
  <c r="H68" i="28"/>
  <c r="G68" i="28"/>
  <c r="F68" i="28"/>
  <c r="E68" i="28"/>
  <c r="D68" i="28"/>
  <c r="C68" i="28"/>
  <c r="B68" i="28"/>
  <c r="A68" i="28"/>
  <c r="X67" i="28"/>
  <c r="W67" i="28"/>
  <c r="P67" i="28"/>
  <c r="O67" i="28"/>
  <c r="N67" i="28"/>
  <c r="M67" i="28"/>
  <c r="H67" i="28"/>
  <c r="G67" i="28"/>
  <c r="F67" i="28"/>
  <c r="E67" i="28"/>
  <c r="D67" i="28"/>
  <c r="C67" i="28"/>
  <c r="B67" i="28"/>
  <c r="A67" i="28"/>
  <c r="X66" i="28"/>
  <c r="W66" i="28"/>
  <c r="P66" i="28"/>
  <c r="O66" i="28"/>
  <c r="N66" i="28"/>
  <c r="M66" i="28"/>
  <c r="H66" i="28"/>
  <c r="G66" i="28"/>
  <c r="F66" i="28"/>
  <c r="E66" i="28"/>
  <c r="D66" i="28"/>
  <c r="C66" i="28"/>
  <c r="B66" i="28"/>
  <c r="A66" i="28"/>
  <c r="X65" i="28"/>
  <c r="W65" i="28"/>
  <c r="P65" i="28"/>
  <c r="O65" i="28"/>
  <c r="N65" i="28"/>
  <c r="M65" i="28"/>
  <c r="H65" i="28"/>
  <c r="G65" i="28"/>
  <c r="F65" i="28"/>
  <c r="E65" i="28"/>
  <c r="D65" i="28"/>
  <c r="C65" i="28"/>
  <c r="B65" i="28"/>
  <c r="A65" i="28"/>
  <c r="X64" i="28"/>
  <c r="W64" i="28"/>
  <c r="P64" i="28"/>
  <c r="O64" i="28"/>
  <c r="N64" i="28"/>
  <c r="M64" i="28"/>
  <c r="H64" i="28"/>
  <c r="G64" i="28"/>
  <c r="F64" i="28"/>
  <c r="E64" i="28"/>
  <c r="D64" i="28"/>
  <c r="C64" i="28"/>
  <c r="B64" i="28"/>
  <c r="A64" i="28"/>
  <c r="X63" i="28"/>
  <c r="W63" i="28"/>
  <c r="P63" i="28"/>
  <c r="O63" i="28"/>
  <c r="N63" i="28"/>
  <c r="M63" i="28"/>
  <c r="H63" i="28"/>
  <c r="G63" i="28"/>
  <c r="F63" i="28"/>
  <c r="E63" i="28"/>
  <c r="D63" i="28"/>
  <c r="C63" i="28"/>
  <c r="B63" i="28"/>
  <c r="A63" i="28"/>
  <c r="X62" i="28"/>
  <c r="W62" i="28"/>
  <c r="P62" i="28"/>
  <c r="O62" i="28"/>
  <c r="N62" i="28"/>
  <c r="M62" i="28"/>
  <c r="H62" i="28"/>
  <c r="G62" i="28"/>
  <c r="F62" i="28"/>
  <c r="E62" i="28"/>
  <c r="D62" i="28"/>
  <c r="C62" i="28"/>
  <c r="B62" i="28"/>
  <c r="A62" i="28"/>
  <c r="X51" i="28"/>
  <c r="W51" i="28"/>
  <c r="P51" i="28"/>
  <c r="O51" i="28"/>
  <c r="N51" i="28"/>
  <c r="M51" i="28"/>
  <c r="G51" i="28"/>
  <c r="F51" i="28"/>
  <c r="E51" i="28"/>
  <c r="D51" i="28"/>
  <c r="C51" i="28"/>
  <c r="B51" i="28"/>
  <c r="A51" i="28"/>
  <c r="X50" i="28"/>
  <c r="W50" i="28"/>
  <c r="P50" i="28"/>
  <c r="O50" i="28"/>
  <c r="N50" i="28"/>
  <c r="M50" i="28"/>
  <c r="G50" i="28"/>
  <c r="F50" i="28"/>
  <c r="E50" i="28"/>
  <c r="D50" i="28"/>
  <c r="C50" i="28"/>
  <c r="B50" i="28"/>
  <c r="A50" i="28"/>
  <c r="X49" i="28"/>
  <c r="W49" i="28"/>
  <c r="P49" i="28"/>
  <c r="O49" i="28"/>
  <c r="N49" i="28"/>
  <c r="M49" i="28"/>
  <c r="G49" i="28"/>
  <c r="F49" i="28"/>
  <c r="E49" i="28"/>
  <c r="D49" i="28"/>
  <c r="C49" i="28"/>
  <c r="B49" i="28"/>
  <c r="A49" i="28"/>
  <c r="X48" i="28"/>
  <c r="W48" i="28"/>
  <c r="P48" i="28"/>
  <c r="O48" i="28"/>
  <c r="N48" i="28"/>
  <c r="M48" i="28"/>
  <c r="G48" i="28"/>
  <c r="F48" i="28"/>
  <c r="E48" i="28"/>
  <c r="D48" i="28"/>
  <c r="C48" i="28"/>
  <c r="B48" i="28"/>
  <c r="A48" i="28"/>
  <c r="X47" i="28"/>
  <c r="W47" i="28"/>
  <c r="P47" i="28"/>
  <c r="O47" i="28"/>
  <c r="N47" i="28"/>
  <c r="M47" i="28"/>
  <c r="G47" i="28"/>
  <c r="F47" i="28"/>
  <c r="E47" i="28"/>
  <c r="D47" i="28"/>
  <c r="C47" i="28"/>
  <c r="B47" i="28"/>
  <c r="A47" i="28"/>
  <c r="X46" i="28"/>
  <c r="W46" i="28"/>
  <c r="P46" i="28"/>
  <c r="O46" i="28"/>
  <c r="N46" i="28"/>
  <c r="M46" i="28"/>
  <c r="G46" i="28"/>
  <c r="F46" i="28"/>
  <c r="E46" i="28"/>
  <c r="D46" i="28"/>
  <c r="C46" i="28"/>
  <c r="B46" i="28"/>
  <c r="A46" i="28"/>
  <c r="X45" i="28"/>
  <c r="W45" i="28"/>
  <c r="P45" i="28"/>
  <c r="O45" i="28"/>
  <c r="N45" i="28"/>
  <c r="M45" i="28"/>
  <c r="G45" i="28"/>
  <c r="F45" i="28"/>
  <c r="E45" i="28"/>
  <c r="D45" i="28"/>
  <c r="C45" i="28"/>
  <c r="B45" i="28"/>
  <c r="A45" i="28"/>
  <c r="X44" i="28"/>
  <c r="W44" i="28"/>
  <c r="P44" i="28"/>
  <c r="O44" i="28"/>
  <c r="N44" i="28"/>
  <c r="M44" i="28"/>
  <c r="G44" i="28"/>
  <c r="F44" i="28"/>
  <c r="E44" i="28"/>
  <c r="D44" i="28"/>
  <c r="C44" i="28"/>
  <c r="B44" i="28"/>
  <c r="A44" i="28"/>
  <c r="X43" i="28"/>
  <c r="W43" i="28"/>
  <c r="P43" i="28"/>
  <c r="O43" i="28"/>
  <c r="N43" i="28"/>
  <c r="M43" i="28"/>
  <c r="G43" i="28"/>
  <c r="F43" i="28"/>
  <c r="E43" i="28"/>
  <c r="D43" i="28"/>
  <c r="C43" i="28"/>
  <c r="B43" i="28"/>
  <c r="A43" i="28"/>
  <c r="X42" i="28"/>
  <c r="W42" i="28"/>
  <c r="P42" i="28"/>
  <c r="O42" i="28"/>
  <c r="N42" i="28"/>
  <c r="M42" i="28"/>
  <c r="G42" i="28"/>
  <c r="F42" i="28"/>
  <c r="E42" i="28"/>
  <c r="D42" i="28"/>
  <c r="C42" i="28"/>
  <c r="B42" i="28"/>
  <c r="A42" i="28"/>
  <c r="X41" i="28"/>
  <c r="W41" i="28"/>
  <c r="P41" i="28"/>
  <c r="O41" i="28"/>
  <c r="N41" i="28"/>
  <c r="M41" i="28"/>
  <c r="G41" i="28"/>
  <c r="F41" i="28"/>
  <c r="E41" i="28"/>
  <c r="D41" i="28"/>
  <c r="C41" i="28"/>
  <c r="B41" i="28"/>
  <c r="A41" i="28"/>
  <c r="X40" i="28"/>
  <c r="W40" i="28"/>
  <c r="P40" i="28"/>
  <c r="O40" i="28"/>
  <c r="N40" i="28"/>
  <c r="M40" i="28"/>
  <c r="G40" i="28"/>
  <c r="F40" i="28"/>
  <c r="E40" i="28"/>
  <c r="D40" i="28"/>
  <c r="C40" i="28"/>
  <c r="B40" i="28"/>
  <c r="A40" i="28"/>
  <c r="X39" i="28"/>
  <c r="W39" i="28"/>
  <c r="P39" i="28"/>
  <c r="O39" i="28"/>
  <c r="N39" i="28"/>
  <c r="M39" i="28"/>
  <c r="G39" i="28"/>
  <c r="F39" i="28"/>
  <c r="E39" i="28"/>
  <c r="D39" i="28"/>
  <c r="C39" i="28"/>
  <c r="B39" i="28"/>
  <c r="A39" i="28"/>
  <c r="X38" i="28"/>
  <c r="W38" i="28"/>
  <c r="P38" i="28"/>
  <c r="O38" i="28"/>
  <c r="N38" i="28"/>
  <c r="M38" i="28"/>
  <c r="H38" i="28"/>
  <c r="G38" i="28"/>
  <c r="F38" i="28"/>
  <c r="E38" i="28"/>
  <c r="D38" i="28"/>
  <c r="C38" i="28"/>
  <c r="B38" i="28"/>
  <c r="A38" i="28"/>
  <c r="X37" i="28"/>
  <c r="W37" i="28"/>
  <c r="P37" i="28"/>
  <c r="O37" i="28"/>
  <c r="N37" i="28"/>
  <c r="M37" i="28"/>
  <c r="G37" i="28"/>
  <c r="F37" i="28"/>
  <c r="E37" i="28"/>
  <c r="D37" i="28"/>
  <c r="C37" i="28"/>
  <c r="B37" i="28"/>
  <c r="A37" i="28"/>
  <c r="R37" i="28" s="1"/>
  <c r="X26" i="28"/>
  <c r="W26" i="28"/>
  <c r="P26" i="28"/>
  <c r="O26" i="28"/>
  <c r="N26" i="28"/>
  <c r="M26" i="28"/>
  <c r="H26" i="28"/>
  <c r="F26" i="28"/>
  <c r="E26" i="28"/>
  <c r="D26" i="28"/>
  <c r="C26" i="28"/>
  <c r="B26" i="28"/>
  <c r="A26" i="28"/>
  <c r="X25" i="28"/>
  <c r="W25" i="28"/>
  <c r="P25" i="28"/>
  <c r="O25" i="28"/>
  <c r="N25" i="28"/>
  <c r="M25" i="28"/>
  <c r="H25" i="28"/>
  <c r="F25" i="28"/>
  <c r="E25" i="28"/>
  <c r="D25" i="28"/>
  <c r="C25" i="28"/>
  <c r="B25" i="28"/>
  <c r="A25" i="28"/>
  <c r="X24" i="28"/>
  <c r="W24" i="28"/>
  <c r="P24" i="28"/>
  <c r="O24" i="28"/>
  <c r="N24" i="28"/>
  <c r="M24" i="28"/>
  <c r="H24" i="28"/>
  <c r="F24" i="28"/>
  <c r="E24" i="28"/>
  <c r="D24" i="28"/>
  <c r="C24" i="28"/>
  <c r="B24" i="28"/>
  <c r="A24" i="28"/>
  <c r="X23" i="28"/>
  <c r="W23" i="28"/>
  <c r="P23" i="28"/>
  <c r="O23" i="28"/>
  <c r="N23" i="28"/>
  <c r="M23" i="28"/>
  <c r="H23" i="28"/>
  <c r="F23" i="28"/>
  <c r="E23" i="28"/>
  <c r="D23" i="28"/>
  <c r="C23" i="28"/>
  <c r="B23" i="28"/>
  <c r="A23" i="28"/>
  <c r="R23" i="28" s="1"/>
  <c r="X22" i="28"/>
  <c r="W22" i="28"/>
  <c r="P22" i="28"/>
  <c r="O22" i="28"/>
  <c r="N22" i="28"/>
  <c r="M22" i="28"/>
  <c r="H22" i="28"/>
  <c r="F22" i="28"/>
  <c r="E22" i="28"/>
  <c r="D22" i="28"/>
  <c r="C22" i="28"/>
  <c r="B22" i="28"/>
  <c r="A22" i="28"/>
  <c r="X21" i="28"/>
  <c r="W21" i="28"/>
  <c r="P21" i="28"/>
  <c r="O21" i="28"/>
  <c r="N21" i="28"/>
  <c r="M21" i="28"/>
  <c r="H21" i="28"/>
  <c r="F21" i="28"/>
  <c r="E21" i="28"/>
  <c r="D21" i="28"/>
  <c r="C21" i="28"/>
  <c r="B21" i="28"/>
  <c r="A21" i="28"/>
  <c r="X20" i="28"/>
  <c r="W20" i="28"/>
  <c r="P20" i="28"/>
  <c r="O20" i="28"/>
  <c r="N20" i="28"/>
  <c r="M20" i="28"/>
  <c r="H20" i="28"/>
  <c r="F20" i="28"/>
  <c r="E20" i="28"/>
  <c r="D20" i="28"/>
  <c r="C20" i="28"/>
  <c r="B20" i="28"/>
  <c r="A20" i="28"/>
  <c r="X19" i="28"/>
  <c r="W19" i="28"/>
  <c r="P19" i="28"/>
  <c r="O19" i="28"/>
  <c r="N19" i="28"/>
  <c r="M19" i="28"/>
  <c r="H19" i="28"/>
  <c r="F19" i="28"/>
  <c r="E19" i="28"/>
  <c r="D19" i="28"/>
  <c r="C19" i="28"/>
  <c r="B19" i="28"/>
  <c r="A19" i="28"/>
  <c r="R19" i="28" s="1"/>
  <c r="X18" i="28"/>
  <c r="W18" i="28"/>
  <c r="P18" i="28"/>
  <c r="O18" i="28"/>
  <c r="N18" i="28"/>
  <c r="M18" i="28"/>
  <c r="H18" i="28"/>
  <c r="F18" i="28"/>
  <c r="E18" i="28"/>
  <c r="D18" i="28"/>
  <c r="C18" i="28"/>
  <c r="B18" i="28"/>
  <c r="A18" i="28"/>
  <c r="X17" i="28"/>
  <c r="W17" i="28"/>
  <c r="P17" i="28"/>
  <c r="O17" i="28"/>
  <c r="N17" i="28"/>
  <c r="M17" i="28"/>
  <c r="H17" i="28"/>
  <c r="F17" i="28"/>
  <c r="E17" i="28"/>
  <c r="D17" i="28"/>
  <c r="C17" i="28"/>
  <c r="B17" i="28"/>
  <c r="A17" i="28"/>
  <c r="X16" i="28"/>
  <c r="W16" i="28"/>
  <c r="P16" i="28"/>
  <c r="O16" i="28"/>
  <c r="N16" i="28"/>
  <c r="M16" i="28"/>
  <c r="H16" i="28"/>
  <c r="F16" i="28"/>
  <c r="E16" i="28"/>
  <c r="D16" i="28"/>
  <c r="C16" i="28"/>
  <c r="B16" i="28"/>
  <c r="A16" i="28"/>
  <c r="X15" i="28"/>
  <c r="W15" i="28"/>
  <c r="P15" i="28"/>
  <c r="O15" i="28"/>
  <c r="N15" i="28"/>
  <c r="M15" i="28"/>
  <c r="H15" i="28"/>
  <c r="F15" i="28"/>
  <c r="E15" i="28"/>
  <c r="D15" i="28"/>
  <c r="C15" i="28"/>
  <c r="B15" i="28"/>
  <c r="A15" i="28"/>
  <c r="R15" i="28" s="1"/>
  <c r="X14" i="28"/>
  <c r="W14" i="28"/>
  <c r="P14" i="28"/>
  <c r="O14" i="28"/>
  <c r="N14" i="28"/>
  <c r="M14" i="28"/>
  <c r="H14" i="28"/>
  <c r="F14" i="28"/>
  <c r="E14" i="28"/>
  <c r="D14" i="28"/>
  <c r="C14" i="28"/>
  <c r="B14" i="28"/>
  <c r="A14" i="28"/>
  <c r="X13" i="28"/>
  <c r="W13" i="28"/>
  <c r="P13" i="28"/>
  <c r="O13" i="28"/>
  <c r="N13" i="28"/>
  <c r="M13" i="28"/>
  <c r="H13" i="28"/>
  <c r="F13" i="28"/>
  <c r="E13" i="28"/>
  <c r="D13" i="28"/>
  <c r="C13" i="28"/>
  <c r="B13" i="28"/>
  <c r="A13" i="28"/>
  <c r="X12" i="28"/>
  <c r="W12" i="28"/>
  <c r="P12" i="28"/>
  <c r="O12" i="28"/>
  <c r="N12" i="28"/>
  <c r="M12" i="28"/>
  <c r="H12" i="28"/>
  <c r="F12" i="28"/>
  <c r="E12" i="28"/>
  <c r="D12" i="28"/>
  <c r="C12" i="28"/>
  <c r="B12" i="28"/>
  <c r="A12" i="28"/>
  <c r="X11" i="28"/>
  <c r="W11" i="28"/>
  <c r="P11" i="28"/>
  <c r="O11" i="28"/>
  <c r="N11" i="28"/>
  <c r="M11" i="28"/>
  <c r="H11" i="28"/>
  <c r="F11" i="28"/>
  <c r="E11" i="28"/>
  <c r="D11" i="28"/>
  <c r="I11" i="28" s="1"/>
  <c r="C11" i="28"/>
  <c r="B11" i="28"/>
  <c r="A11" i="28"/>
  <c r="R11" i="28" s="1"/>
  <c r="X10" i="28"/>
  <c r="W10" i="28"/>
  <c r="P10" i="28"/>
  <c r="O10" i="28"/>
  <c r="N10" i="28"/>
  <c r="M10" i="28"/>
  <c r="F10" i="28"/>
  <c r="E10" i="28"/>
  <c r="D10" i="28"/>
  <c r="C10" i="28"/>
  <c r="B10" i="28"/>
  <c r="A10" i="28"/>
  <c r="R10" i="28" s="1"/>
  <c r="X9" i="28"/>
  <c r="W9" i="28"/>
  <c r="P9" i="28"/>
  <c r="O9" i="28"/>
  <c r="N9" i="28"/>
  <c r="M9" i="28"/>
  <c r="H9" i="28"/>
  <c r="F9" i="28"/>
  <c r="E9" i="28"/>
  <c r="D9" i="28"/>
  <c r="C9" i="28"/>
  <c r="B9" i="28"/>
  <c r="A9" i="28"/>
  <c r="X8" i="28"/>
  <c r="W8" i="28"/>
  <c r="P8" i="28"/>
  <c r="O8" i="28"/>
  <c r="N8" i="28"/>
  <c r="M8" i="28"/>
  <c r="H8" i="28"/>
  <c r="F8" i="28"/>
  <c r="E8" i="28"/>
  <c r="D8" i="28"/>
  <c r="C8" i="28"/>
  <c r="B8" i="28"/>
  <c r="A8" i="28"/>
  <c r="R8" i="28" s="1"/>
  <c r="H10" i="28"/>
  <c r="Q74" i="28"/>
  <c r="I74" i="28"/>
  <c r="R74" i="28"/>
  <c r="Q73" i="28"/>
  <c r="I73" i="28"/>
  <c r="R73" i="28"/>
  <c r="I72" i="28"/>
  <c r="R72" i="28"/>
  <c r="Q71" i="28"/>
  <c r="I71" i="28"/>
  <c r="R71" i="28"/>
  <c r="Q70" i="28"/>
  <c r="I70" i="28"/>
  <c r="R70" i="28"/>
  <c r="Q69" i="28"/>
  <c r="I69" i="28"/>
  <c r="R69" i="28"/>
  <c r="Q68" i="28"/>
  <c r="I68" i="28"/>
  <c r="R68" i="28"/>
  <c r="Q67" i="28"/>
  <c r="I67" i="28"/>
  <c r="R67" i="28"/>
  <c r="Q66" i="28"/>
  <c r="I66" i="28"/>
  <c r="R66" i="28"/>
  <c r="Q65" i="28"/>
  <c r="I65" i="28"/>
  <c r="R65" i="28"/>
  <c r="Q64" i="28"/>
  <c r="R64" i="28"/>
  <c r="Q63" i="28"/>
  <c r="I63" i="28"/>
  <c r="R63" i="28"/>
  <c r="Q62" i="28"/>
  <c r="I62" i="28"/>
  <c r="R62" i="28"/>
  <c r="Q51" i="28"/>
  <c r="I51" i="28"/>
  <c r="R51" i="28"/>
  <c r="Q50" i="28"/>
  <c r="I50" i="28"/>
  <c r="R50" i="28"/>
  <c r="Q49" i="28"/>
  <c r="I49" i="28"/>
  <c r="R49" i="28"/>
  <c r="Q48" i="28"/>
  <c r="R48" i="28"/>
  <c r="Q47" i="28"/>
  <c r="I47" i="28"/>
  <c r="R47" i="28"/>
  <c r="Q46" i="28"/>
  <c r="I46" i="28"/>
  <c r="R46" i="28"/>
  <c r="I45" i="28"/>
  <c r="R45" i="28"/>
  <c r="Q44" i="28"/>
  <c r="R44" i="28"/>
  <c r="Q43" i="28"/>
  <c r="I43" i="28"/>
  <c r="R43" i="28"/>
  <c r="Q42" i="28"/>
  <c r="I42" i="28"/>
  <c r="R42" i="28"/>
  <c r="I41" i="28"/>
  <c r="R41" i="28"/>
  <c r="Q40" i="28"/>
  <c r="R40" i="28"/>
  <c r="Q39" i="28"/>
  <c r="I39" i="28"/>
  <c r="R39" i="28"/>
  <c r="Q38" i="28"/>
  <c r="R38" i="28"/>
  <c r="Q37" i="28"/>
  <c r="I37" i="28"/>
  <c r="Q26" i="28"/>
  <c r="I26" i="28"/>
  <c r="R26" i="28"/>
  <c r="R25" i="28"/>
  <c r="Q24" i="28"/>
  <c r="R24" i="28"/>
  <c r="Q23" i="28"/>
  <c r="I23" i="28"/>
  <c r="I22" i="28"/>
  <c r="R22" i="28"/>
  <c r="R21" i="28"/>
  <c r="Q20" i="28"/>
  <c r="R20" i="28"/>
  <c r="Q19" i="28"/>
  <c r="I19" i="28"/>
  <c r="I18" i="28"/>
  <c r="R18" i="28"/>
  <c r="R17" i="28"/>
  <c r="Q16" i="28"/>
  <c r="R16" i="28"/>
  <c r="I15" i="28"/>
  <c r="R14" i="28"/>
  <c r="R13" i="28"/>
  <c r="R12" i="28"/>
  <c r="R9" i="28"/>
  <c r="X53" i="27"/>
  <c r="W53" i="27"/>
  <c r="Q53" i="27"/>
  <c r="P53" i="27"/>
  <c r="O53" i="27"/>
  <c r="N53" i="27"/>
  <c r="M53" i="27"/>
  <c r="I53" i="27"/>
  <c r="K53" i="27" s="1"/>
  <c r="L53" i="27" s="1"/>
  <c r="G53" i="27"/>
  <c r="F53" i="27"/>
  <c r="E53" i="27"/>
  <c r="D53" i="27"/>
  <c r="C53" i="27"/>
  <c r="B53" i="27"/>
  <c r="A53" i="27"/>
  <c r="R53" i="27" s="1"/>
  <c r="X28" i="27"/>
  <c r="W28" i="27"/>
  <c r="P28" i="27"/>
  <c r="O28" i="27"/>
  <c r="N28" i="27"/>
  <c r="M28" i="27"/>
  <c r="H28" i="27"/>
  <c r="F28" i="27"/>
  <c r="E28" i="27"/>
  <c r="D28" i="27"/>
  <c r="C28" i="27"/>
  <c r="B28" i="27"/>
  <c r="A28" i="27"/>
  <c r="R28" i="27" s="1"/>
  <c r="X76" i="27"/>
  <c r="W76" i="27"/>
  <c r="P76" i="27"/>
  <c r="O76" i="27"/>
  <c r="N76" i="27"/>
  <c r="M76" i="27"/>
  <c r="H76" i="27"/>
  <c r="G76" i="27"/>
  <c r="F76" i="27"/>
  <c r="E76" i="27"/>
  <c r="D76" i="27"/>
  <c r="C76" i="27"/>
  <c r="I76" i="27" s="1"/>
  <c r="B76" i="27"/>
  <c r="A76" i="27"/>
  <c r="R76" i="27" s="1"/>
  <c r="X75" i="27"/>
  <c r="W75" i="27"/>
  <c r="P75" i="27"/>
  <c r="O75" i="27"/>
  <c r="N75" i="27"/>
  <c r="M75" i="27"/>
  <c r="Q75" i="27" s="1"/>
  <c r="H75" i="27"/>
  <c r="G75" i="27"/>
  <c r="F75" i="27"/>
  <c r="E75" i="27"/>
  <c r="D75" i="27"/>
  <c r="C75" i="27"/>
  <c r="B75" i="27"/>
  <c r="A75" i="27"/>
  <c r="R75" i="27" s="1"/>
  <c r="X52" i="27"/>
  <c r="W52" i="27"/>
  <c r="P52" i="27"/>
  <c r="O52" i="27"/>
  <c r="N52" i="27"/>
  <c r="M52" i="27"/>
  <c r="G52" i="27"/>
  <c r="F52" i="27"/>
  <c r="E52" i="27"/>
  <c r="D52" i="27"/>
  <c r="C52" i="27"/>
  <c r="B52" i="27"/>
  <c r="A52" i="27"/>
  <c r="R52" i="27" s="1"/>
  <c r="X27" i="27"/>
  <c r="W27" i="27"/>
  <c r="P27" i="27"/>
  <c r="O27" i="27"/>
  <c r="N27" i="27"/>
  <c r="M27" i="27"/>
  <c r="H27" i="27"/>
  <c r="F27" i="27"/>
  <c r="E27" i="27"/>
  <c r="D27" i="27"/>
  <c r="C27" i="27"/>
  <c r="B27" i="27"/>
  <c r="A27" i="27"/>
  <c r="R27" i="27" s="1"/>
  <c r="X26" i="27"/>
  <c r="W26" i="27"/>
  <c r="P26" i="27"/>
  <c r="O26" i="27"/>
  <c r="N26" i="27"/>
  <c r="M26" i="27"/>
  <c r="H26" i="27"/>
  <c r="F26" i="27"/>
  <c r="E26" i="27"/>
  <c r="D26" i="27"/>
  <c r="C26" i="27"/>
  <c r="B26" i="27"/>
  <c r="A26" i="27"/>
  <c r="R26" i="27" s="1"/>
  <c r="X25" i="27"/>
  <c r="W25" i="27"/>
  <c r="P25" i="27"/>
  <c r="O25" i="27"/>
  <c r="N25" i="27"/>
  <c r="M25" i="27"/>
  <c r="H25" i="27"/>
  <c r="F25" i="27"/>
  <c r="E25" i="27"/>
  <c r="D25" i="27"/>
  <c r="C25" i="27"/>
  <c r="B25" i="27"/>
  <c r="A25" i="27"/>
  <c r="R25" i="27" s="1"/>
  <c r="X74" i="27"/>
  <c r="W74" i="27"/>
  <c r="P74" i="27"/>
  <c r="O74" i="27"/>
  <c r="N74" i="27"/>
  <c r="M74" i="27"/>
  <c r="H74" i="27"/>
  <c r="G74" i="27"/>
  <c r="F74" i="27"/>
  <c r="E74" i="27"/>
  <c r="D74" i="27"/>
  <c r="C74" i="27"/>
  <c r="B74" i="27"/>
  <c r="A74" i="27"/>
  <c r="R74" i="27" s="1"/>
  <c r="Q72" i="28" l="1"/>
  <c r="I8" i="28"/>
  <c r="J8" i="28" s="1"/>
  <c r="Q8" i="28"/>
  <c r="I9" i="28"/>
  <c r="J9" i="28" s="1"/>
  <c r="Q9" i="28"/>
  <c r="Q10" i="28"/>
  <c r="Q12" i="28"/>
  <c r="Q11" i="28"/>
  <c r="I12" i="28"/>
  <c r="J12" i="28" s="1"/>
  <c r="I13" i="28"/>
  <c r="K13" i="28" s="1"/>
  <c r="I14" i="28"/>
  <c r="K14" i="28" s="1"/>
  <c r="L14" i="28" s="1"/>
  <c r="Q15" i="28"/>
  <c r="I16" i="28"/>
  <c r="K16" i="28" s="1"/>
  <c r="L16" i="28" s="1"/>
  <c r="I17" i="28"/>
  <c r="K17" i="28" s="1"/>
  <c r="Q18" i="28"/>
  <c r="I20" i="28"/>
  <c r="J20" i="28" s="1"/>
  <c r="I21" i="28"/>
  <c r="K21" i="28" s="1"/>
  <c r="L21" i="28" s="1"/>
  <c r="Q22" i="28"/>
  <c r="I24" i="28"/>
  <c r="K24" i="28" s="1"/>
  <c r="I25" i="28"/>
  <c r="K25" i="28" s="1"/>
  <c r="L25" i="28" s="1"/>
  <c r="Q25" i="28"/>
  <c r="I38" i="28"/>
  <c r="K38" i="28" s="1"/>
  <c r="L38" i="28" s="1"/>
  <c r="I40" i="28"/>
  <c r="K40" i="28" s="1"/>
  <c r="L40" i="28" s="1"/>
  <c r="Q41" i="28"/>
  <c r="I44" i="28"/>
  <c r="J44" i="28" s="1"/>
  <c r="Q45" i="28"/>
  <c r="I48" i="28"/>
  <c r="J48" i="28" s="1"/>
  <c r="I64" i="28"/>
  <c r="J64" i="28" s="1"/>
  <c r="Q13" i="28"/>
  <c r="Q17" i="28"/>
  <c r="Q21" i="28"/>
  <c r="Q14" i="28"/>
  <c r="I10" i="28"/>
  <c r="J10" i="28" s="1"/>
  <c r="K11" i="28"/>
  <c r="L11" i="28" s="1"/>
  <c r="J11" i="28"/>
  <c r="K15" i="28"/>
  <c r="L15" i="28" s="1"/>
  <c r="J15" i="28"/>
  <c r="J18" i="28"/>
  <c r="K18" i="28"/>
  <c r="L18" i="28" s="1"/>
  <c r="K19" i="28"/>
  <c r="L19" i="28" s="1"/>
  <c r="J19" i="28"/>
  <c r="J22" i="28"/>
  <c r="K22" i="28"/>
  <c r="L22" i="28" s="1"/>
  <c r="K23" i="28"/>
  <c r="L23" i="28" s="1"/>
  <c r="J23" i="28"/>
  <c r="J26" i="28"/>
  <c r="K26" i="28"/>
  <c r="L26" i="28" s="1"/>
  <c r="K37" i="28"/>
  <c r="L37" i="28" s="1"/>
  <c r="J37" i="28"/>
  <c r="K47" i="28"/>
  <c r="L47" i="28" s="1"/>
  <c r="J47" i="28"/>
  <c r="K51" i="28"/>
  <c r="L51" i="28" s="1"/>
  <c r="J51" i="28"/>
  <c r="K62" i="28"/>
  <c r="L62" i="28" s="1"/>
  <c r="J62" i="28"/>
  <c r="K66" i="28"/>
  <c r="L66" i="28" s="1"/>
  <c r="J66" i="28"/>
  <c r="K68" i="28"/>
  <c r="L68" i="28" s="1"/>
  <c r="J68" i="28"/>
  <c r="K70" i="28"/>
  <c r="L70" i="28" s="1"/>
  <c r="J70" i="28"/>
  <c r="K72" i="28"/>
  <c r="L72" i="28" s="1"/>
  <c r="J72" i="28"/>
  <c r="K74" i="28"/>
  <c r="L74" i="28" s="1"/>
  <c r="J74" i="28"/>
  <c r="J41" i="28"/>
  <c r="K41" i="28"/>
  <c r="L41" i="28" s="1"/>
  <c r="K42" i="28"/>
  <c r="L42" i="28" s="1"/>
  <c r="J42" i="28"/>
  <c r="J45" i="28"/>
  <c r="K45" i="28"/>
  <c r="L45" i="28" s="1"/>
  <c r="K46" i="28"/>
  <c r="L46" i="28" s="1"/>
  <c r="J46" i="28"/>
  <c r="J49" i="28"/>
  <c r="K49" i="28"/>
  <c r="L49" i="28" s="1"/>
  <c r="K50" i="28"/>
  <c r="L50" i="28" s="1"/>
  <c r="J50" i="28"/>
  <c r="K63" i="28"/>
  <c r="L63" i="28" s="1"/>
  <c r="J63" i="28"/>
  <c r="K65" i="28"/>
  <c r="L65" i="28" s="1"/>
  <c r="J65" i="28"/>
  <c r="K67" i="28"/>
  <c r="L67" i="28" s="1"/>
  <c r="J67" i="28"/>
  <c r="K69" i="28"/>
  <c r="L69" i="28" s="1"/>
  <c r="J69" i="28"/>
  <c r="K71" i="28"/>
  <c r="L71" i="28" s="1"/>
  <c r="J71" i="28"/>
  <c r="K73" i="28"/>
  <c r="L73" i="28" s="1"/>
  <c r="J73" i="28"/>
  <c r="K39" i="28"/>
  <c r="L39" i="28" s="1"/>
  <c r="J39" i="28"/>
  <c r="K43" i="28"/>
  <c r="L43" i="28" s="1"/>
  <c r="J43" i="28"/>
  <c r="J53" i="27"/>
  <c r="S53" i="27"/>
  <c r="U53" i="27" s="1"/>
  <c r="I28" i="27"/>
  <c r="K28" i="27" s="1"/>
  <c r="L28" i="27" s="1"/>
  <c r="Q28" i="27"/>
  <c r="Q76" i="27"/>
  <c r="I75" i="27"/>
  <c r="K76" i="27"/>
  <c r="L76" i="27" s="1"/>
  <c r="J76" i="27"/>
  <c r="K75" i="27"/>
  <c r="L75" i="27" s="1"/>
  <c r="J75" i="27"/>
  <c r="I52" i="27"/>
  <c r="K52" i="27" s="1"/>
  <c r="L52" i="27" s="1"/>
  <c r="Q52" i="27"/>
  <c r="Q26" i="27"/>
  <c r="Q27" i="27"/>
  <c r="J52" i="27"/>
  <c r="I27" i="27"/>
  <c r="J27" i="27" s="1"/>
  <c r="I26" i="27"/>
  <c r="K26" i="27" s="1"/>
  <c r="L26" i="27" s="1"/>
  <c r="I25" i="27"/>
  <c r="K25" i="27" s="1"/>
  <c r="L25" i="27" s="1"/>
  <c r="Q25" i="27"/>
  <c r="I74" i="27"/>
  <c r="K74" i="27" s="1"/>
  <c r="L74" i="27" s="1"/>
  <c r="Q74" i="27"/>
  <c r="X73" i="27"/>
  <c r="W73" i="27"/>
  <c r="P73" i="27"/>
  <c r="O73" i="27"/>
  <c r="N73" i="27"/>
  <c r="M73" i="27"/>
  <c r="H73" i="27"/>
  <c r="G73" i="27"/>
  <c r="F73" i="27"/>
  <c r="E73" i="27"/>
  <c r="D73" i="27"/>
  <c r="C73" i="27"/>
  <c r="B73" i="27"/>
  <c r="A73" i="27"/>
  <c r="X72" i="27"/>
  <c r="W72" i="27"/>
  <c r="P72" i="27"/>
  <c r="O72" i="27"/>
  <c r="N72" i="27"/>
  <c r="M72" i="27"/>
  <c r="H72" i="27"/>
  <c r="G72" i="27"/>
  <c r="F72" i="27"/>
  <c r="E72" i="27"/>
  <c r="D72" i="27"/>
  <c r="C72" i="27"/>
  <c r="B72" i="27"/>
  <c r="A72" i="27"/>
  <c r="R72" i="27" s="1"/>
  <c r="X71" i="27"/>
  <c r="W71" i="27"/>
  <c r="P71" i="27"/>
  <c r="O71" i="27"/>
  <c r="N71" i="27"/>
  <c r="M71" i="27"/>
  <c r="H71" i="27"/>
  <c r="G71" i="27"/>
  <c r="F71" i="27"/>
  <c r="E71" i="27"/>
  <c r="D71" i="27"/>
  <c r="C71" i="27"/>
  <c r="B71" i="27"/>
  <c r="A71" i="27"/>
  <c r="X70" i="27"/>
  <c r="W70" i="27"/>
  <c r="P70" i="27"/>
  <c r="O70" i="27"/>
  <c r="N70" i="27"/>
  <c r="M70" i="27"/>
  <c r="H70" i="27"/>
  <c r="G70" i="27"/>
  <c r="F70" i="27"/>
  <c r="E70" i="27"/>
  <c r="D70" i="27"/>
  <c r="C70" i="27"/>
  <c r="B70" i="27"/>
  <c r="A70" i="27"/>
  <c r="R70" i="27" s="1"/>
  <c r="X69" i="27"/>
  <c r="W69" i="27"/>
  <c r="P69" i="27"/>
  <c r="O69" i="27"/>
  <c r="N69" i="27"/>
  <c r="M69" i="27"/>
  <c r="H69" i="27"/>
  <c r="G69" i="27"/>
  <c r="F69" i="27"/>
  <c r="E69" i="27"/>
  <c r="D69" i="27"/>
  <c r="C69" i="27"/>
  <c r="B69" i="27"/>
  <c r="A69" i="27"/>
  <c r="X68" i="27"/>
  <c r="W68" i="27"/>
  <c r="P68" i="27"/>
  <c r="O68" i="27"/>
  <c r="N68" i="27"/>
  <c r="M68" i="27"/>
  <c r="H68" i="27"/>
  <c r="G68" i="27"/>
  <c r="F68" i="27"/>
  <c r="E68" i="27"/>
  <c r="D68" i="27"/>
  <c r="C68" i="27"/>
  <c r="B68" i="27"/>
  <c r="A68" i="27"/>
  <c r="R68" i="27" s="1"/>
  <c r="X67" i="27"/>
  <c r="W67" i="27"/>
  <c r="P67" i="27"/>
  <c r="O67" i="27"/>
  <c r="N67" i="27"/>
  <c r="M67" i="27"/>
  <c r="H67" i="27"/>
  <c r="G67" i="27"/>
  <c r="F67" i="27"/>
  <c r="E67" i="27"/>
  <c r="D67" i="27"/>
  <c r="C67" i="27"/>
  <c r="B67" i="27"/>
  <c r="A67" i="27"/>
  <c r="X66" i="27"/>
  <c r="W66" i="27"/>
  <c r="P66" i="27"/>
  <c r="O66" i="27"/>
  <c r="N66" i="27"/>
  <c r="M66" i="27"/>
  <c r="H66" i="27"/>
  <c r="G66" i="27"/>
  <c r="F66" i="27"/>
  <c r="E66" i="27"/>
  <c r="D66" i="27"/>
  <c r="C66" i="27"/>
  <c r="B66" i="27"/>
  <c r="A66" i="27"/>
  <c r="R66" i="27" s="1"/>
  <c r="X65" i="27"/>
  <c r="W65" i="27"/>
  <c r="P65" i="27"/>
  <c r="O65" i="27"/>
  <c r="N65" i="27"/>
  <c r="M65" i="27"/>
  <c r="H65" i="27"/>
  <c r="G65" i="27"/>
  <c r="F65" i="27"/>
  <c r="E65" i="27"/>
  <c r="D65" i="27"/>
  <c r="C65" i="27"/>
  <c r="B65" i="27"/>
  <c r="A65" i="27"/>
  <c r="X64" i="27"/>
  <c r="W64" i="27"/>
  <c r="P64" i="27"/>
  <c r="O64" i="27"/>
  <c r="N64" i="27"/>
  <c r="M64" i="27"/>
  <c r="H64" i="27"/>
  <c r="G64" i="27"/>
  <c r="F64" i="27"/>
  <c r="E64" i="27"/>
  <c r="D64" i="27"/>
  <c r="C64" i="27"/>
  <c r="B64" i="27"/>
  <c r="A64" i="27"/>
  <c r="R64" i="27" s="1"/>
  <c r="X63" i="27"/>
  <c r="W63" i="27"/>
  <c r="P63" i="27"/>
  <c r="O63" i="27"/>
  <c r="N63" i="27"/>
  <c r="M63" i="27"/>
  <c r="H63" i="27"/>
  <c r="G63" i="27"/>
  <c r="F63" i="27"/>
  <c r="E63" i="27"/>
  <c r="D63" i="27"/>
  <c r="C63" i="27"/>
  <c r="B63" i="27"/>
  <c r="A63" i="27"/>
  <c r="X62" i="27"/>
  <c r="W62" i="27"/>
  <c r="P62" i="27"/>
  <c r="O62" i="27"/>
  <c r="N62" i="27"/>
  <c r="M62" i="27"/>
  <c r="H62" i="27"/>
  <c r="G62" i="27"/>
  <c r="F62" i="27"/>
  <c r="E62" i="27"/>
  <c r="D62" i="27"/>
  <c r="C62" i="27"/>
  <c r="B62" i="27"/>
  <c r="A62" i="27"/>
  <c r="R62" i="27" s="1"/>
  <c r="X51" i="27"/>
  <c r="W51" i="27"/>
  <c r="P51" i="27"/>
  <c r="O51" i="27"/>
  <c r="N51" i="27"/>
  <c r="M51" i="27"/>
  <c r="G51" i="27"/>
  <c r="F51" i="27"/>
  <c r="E51" i="27"/>
  <c r="D51" i="27"/>
  <c r="C51" i="27"/>
  <c r="B51" i="27"/>
  <c r="A51" i="27"/>
  <c r="R51" i="27" s="1"/>
  <c r="X50" i="27"/>
  <c r="W50" i="27"/>
  <c r="P50" i="27"/>
  <c r="O50" i="27"/>
  <c r="N50" i="27"/>
  <c r="M50" i="27"/>
  <c r="G50" i="27"/>
  <c r="F50" i="27"/>
  <c r="E50" i="27"/>
  <c r="D50" i="27"/>
  <c r="C50" i="27"/>
  <c r="B50" i="27"/>
  <c r="A50" i="27"/>
  <c r="X49" i="27"/>
  <c r="W49" i="27"/>
  <c r="P49" i="27"/>
  <c r="O49" i="27"/>
  <c r="N49" i="27"/>
  <c r="M49" i="27"/>
  <c r="G49" i="27"/>
  <c r="F49" i="27"/>
  <c r="E49" i="27"/>
  <c r="D49" i="27"/>
  <c r="C49" i="27"/>
  <c r="B49" i="27"/>
  <c r="A49" i="27"/>
  <c r="R49" i="27" s="1"/>
  <c r="X48" i="27"/>
  <c r="W48" i="27"/>
  <c r="P48" i="27"/>
  <c r="O48" i="27"/>
  <c r="N48" i="27"/>
  <c r="M48" i="27"/>
  <c r="G48" i="27"/>
  <c r="F48" i="27"/>
  <c r="E48" i="27"/>
  <c r="D48" i="27"/>
  <c r="C48" i="27"/>
  <c r="B48" i="27"/>
  <c r="A48" i="27"/>
  <c r="R48" i="27" s="1"/>
  <c r="X47" i="27"/>
  <c r="W47" i="27"/>
  <c r="P47" i="27"/>
  <c r="O47" i="27"/>
  <c r="N47" i="27"/>
  <c r="M47" i="27"/>
  <c r="G47" i="27"/>
  <c r="F47" i="27"/>
  <c r="E47" i="27"/>
  <c r="D47" i="27"/>
  <c r="C47" i="27"/>
  <c r="B47" i="27"/>
  <c r="A47" i="27"/>
  <c r="R47" i="27" s="1"/>
  <c r="X46" i="27"/>
  <c r="W46" i="27"/>
  <c r="P46" i="27"/>
  <c r="O46" i="27"/>
  <c r="N46" i="27"/>
  <c r="M46" i="27"/>
  <c r="G46" i="27"/>
  <c r="F46" i="27"/>
  <c r="E46" i="27"/>
  <c r="D46" i="27"/>
  <c r="C46" i="27"/>
  <c r="B46" i="27"/>
  <c r="A46" i="27"/>
  <c r="X45" i="27"/>
  <c r="W45" i="27"/>
  <c r="P45" i="27"/>
  <c r="O45" i="27"/>
  <c r="N45" i="27"/>
  <c r="M45" i="27"/>
  <c r="G45" i="27"/>
  <c r="F45" i="27"/>
  <c r="E45" i="27"/>
  <c r="D45" i="27"/>
  <c r="C45" i="27"/>
  <c r="B45" i="27"/>
  <c r="A45" i="27"/>
  <c r="X44" i="27"/>
  <c r="W44" i="27"/>
  <c r="P44" i="27"/>
  <c r="O44" i="27"/>
  <c r="N44" i="27"/>
  <c r="M44" i="27"/>
  <c r="G44" i="27"/>
  <c r="F44" i="27"/>
  <c r="E44" i="27"/>
  <c r="D44" i="27"/>
  <c r="C44" i="27"/>
  <c r="B44" i="27"/>
  <c r="A44" i="27"/>
  <c r="R44" i="27" s="1"/>
  <c r="X43" i="27"/>
  <c r="W43" i="27"/>
  <c r="P43" i="27"/>
  <c r="O43" i="27"/>
  <c r="N43" i="27"/>
  <c r="M43" i="27"/>
  <c r="G43" i="27"/>
  <c r="F43" i="27"/>
  <c r="E43" i="27"/>
  <c r="D43" i="27"/>
  <c r="C43" i="27"/>
  <c r="B43" i="27"/>
  <c r="A43" i="27"/>
  <c r="R43" i="27" s="1"/>
  <c r="X42" i="27"/>
  <c r="W42" i="27"/>
  <c r="P42" i="27"/>
  <c r="O42" i="27"/>
  <c r="N42" i="27"/>
  <c r="M42" i="27"/>
  <c r="G42" i="27"/>
  <c r="F42" i="27"/>
  <c r="E42" i="27"/>
  <c r="D42" i="27"/>
  <c r="C42" i="27"/>
  <c r="B42" i="27"/>
  <c r="A42" i="27"/>
  <c r="R42" i="27" s="1"/>
  <c r="X41" i="27"/>
  <c r="W41" i="27"/>
  <c r="P41" i="27"/>
  <c r="O41" i="27"/>
  <c r="N41" i="27"/>
  <c r="M41" i="27"/>
  <c r="G41" i="27"/>
  <c r="F41" i="27"/>
  <c r="E41" i="27"/>
  <c r="D41" i="27"/>
  <c r="C41" i="27"/>
  <c r="B41" i="27"/>
  <c r="A41" i="27"/>
  <c r="R41" i="27" s="1"/>
  <c r="X40" i="27"/>
  <c r="W40" i="27"/>
  <c r="P40" i="27"/>
  <c r="O40" i="27"/>
  <c r="N40" i="27"/>
  <c r="M40" i="27"/>
  <c r="G40" i="27"/>
  <c r="F40" i="27"/>
  <c r="E40" i="27"/>
  <c r="D40" i="27"/>
  <c r="C40" i="27"/>
  <c r="B40" i="27"/>
  <c r="A40" i="27"/>
  <c r="R40" i="27" s="1"/>
  <c r="X39" i="27"/>
  <c r="W39" i="27"/>
  <c r="P39" i="27"/>
  <c r="O39" i="27"/>
  <c r="N39" i="27"/>
  <c r="M39" i="27"/>
  <c r="G39" i="27"/>
  <c r="F39" i="27"/>
  <c r="E39" i="27"/>
  <c r="D39" i="27"/>
  <c r="C39" i="27"/>
  <c r="B39" i="27"/>
  <c r="A39" i="27"/>
  <c r="R39" i="27" s="1"/>
  <c r="X38" i="27"/>
  <c r="W38" i="27"/>
  <c r="P38" i="27"/>
  <c r="O38" i="27"/>
  <c r="N38" i="27"/>
  <c r="M38" i="27"/>
  <c r="H38" i="27"/>
  <c r="G38" i="27"/>
  <c r="F38" i="27"/>
  <c r="E38" i="27"/>
  <c r="D38" i="27"/>
  <c r="C38" i="27"/>
  <c r="B38" i="27"/>
  <c r="A38" i="27"/>
  <c r="X37" i="27"/>
  <c r="W37" i="27"/>
  <c r="P37" i="27"/>
  <c r="O37" i="27"/>
  <c r="N37" i="27"/>
  <c r="M37" i="27"/>
  <c r="G37" i="27"/>
  <c r="F37" i="27"/>
  <c r="E37" i="27"/>
  <c r="D37" i="27"/>
  <c r="C37" i="27"/>
  <c r="B37" i="27"/>
  <c r="A37" i="27"/>
  <c r="R37" i="27" s="1"/>
  <c r="X24" i="27"/>
  <c r="W24" i="27"/>
  <c r="P24" i="27"/>
  <c r="O24" i="27"/>
  <c r="N24" i="27"/>
  <c r="M24" i="27"/>
  <c r="H24" i="27"/>
  <c r="F24" i="27"/>
  <c r="E24" i="27"/>
  <c r="D24" i="27"/>
  <c r="C24" i="27"/>
  <c r="B24" i="27"/>
  <c r="A24" i="27"/>
  <c r="R24" i="27" s="1"/>
  <c r="X23" i="27"/>
  <c r="W23" i="27"/>
  <c r="P23" i="27"/>
  <c r="O23" i="27"/>
  <c r="N23" i="27"/>
  <c r="M23" i="27"/>
  <c r="H23" i="27"/>
  <c r="F23" i="27"/>
  <c r="E23" i="27"/>
  <c r="D23" i="27"/>
  <c r="C23" i="27"/>
  <c r="B23" i="27"/>
  <c r="A23" i="27"/>
  <c r="R23" i="27" s="1"/>
  <c r="X22" i="27"/>
  <c r="W22" i="27"/>
  <c r="P22" i="27"/>
  <c r="O22" i="27"/>
  <c r="N22" i="27"/>
  <c r="M22" i="27"/>
  <c r="H22" i="27"/>
  <c r="F22" i="27"/>
  <c r="E22" i="27"/>
  <c r="D22" i="27"/>
  <c r="C22" i="27"/>
  <c r="B22" i="27"/>
  <c r="A22" i="27"/>
  <c r="R22" i="27" s="1"/>
  <c r="X21" i="27"/>
  <c r="W21" i="27"/>
  <c r="P21" i="27"/>
  <c r="O21" i="27"/>
  <c r="N21" i="27"/>
  <c r="M21" i="27"/>
  <c r="H21" i="27"/>
  <c r="F21" i="27"/>
  <c r="E21" i="27"/>
  <c r="D21" i="27"/>
  <c r="C21" i="27"/>
  <c r="B21" i="27"/>
  <c r="A21" i="27"/>
  <c r="R21" i="27" s="1"/>
  <c r="X20" i="27"/>
  <c r="W20" i="27"/>
  <c r="P20" i="27"/>
  <c r="O20" i="27"/>
  <c r="N20" i="27"/>
  <c r="M20" i="27"/>
  <c r="H20" i="27"/>
  <c r="F20" i="27"/>
  <c r="E20" i="27"/>
  <c r="D20" i="27"/>
  <c r="C20" i="27"/>
  <c r="B20" i="27"/>
  <c r="A20" i="27"/>
  <c r="R20" i="27" s="1"/>
  <c r="X19" i="27"/>
  <c r="W19" i="27"/>
  <c r="P19" i="27"/>
  <c r="O19" i="27"/>
  <c r="N19" i="27"/>
  <c r="M19" i="27"/>
  <c r="H19" i="27"/>
  <c r="F19" i="27"/>
  <c r="E19" i="27"/>
  <c r="D19" i="27"/>
  <c r="C19" i="27"/>
  <c r="B19" i="27"/>
  <c r="A19" i="27"/>
  <c r="R19" i="27" s="1"/>
  <c r="X18" i="27"/>
  <c r="W18" i="27"/>
  <c r="P18" i="27"/>
  <c r="O18" i="27"/>
  <c r="N18" i="27"/>
  <c r="M18" i="27"/>
  <c r="H18" i="27"/>
  <c r="F18" i="27"/>
  <c r="E18" i="27"/>
  <c r="D18" i="27"/>
  <c r="C18" i="27"/>
  <c r="B18" i="27"/>
  <c r="A18" i="27"/>
  <c r="R18" i="27" s="1"/>
  <c r="X17" i="27"/>
  <c r="W17" i="27"/>
  <c r="P17" i="27"/>
  <c r="O17" i="27"/>
  <c r="N17" i="27"/>
  <c r="M17" i="27"/>
  <c r="H17" i="27"/>
  <c r="F17" i="27"/>
  <c r="E17" i="27"/>
  <c r="D17" i="27"/>
  <c r="C17" i="27"/>
  <c r="B17" i="27"/>
  <c r="A17" i="27"/>
  <c r="R17" i="27" s="1"/>
  <c r="X16" i="27"/>
  <c r="W16" i="27"/>
  <c r="P16" i="27"/>
  <c r="O16" i="27"/>
  <c r="N16" i="27"/>
  <c r="M16" i="27"/>
  <c r="H16" i="27"/>
  <c r="F16" i="27"/>
  <c r="E16" i="27"/>
  <c r="D16" i="27"/>
  <c r="C16" i="27"/>
  <c r="B16" i="27"/>
  <c r="A16" i="27"/>
  <c r="R16" i="27" s="1"/>
  <c r="X15" i="27"/>
  <c r="W15" i="27"/>
  <c r="P15" i="27"/>
  <c r="O15" i="27"/>
  <c r="N15" i="27"/>
  <c r="M15" i="27"/>
  <c r="H15" i="27"/>
  <c r="F15" i="27"/>
  <c r="E15" i="27"/>
  <c r="D15" i="27"/>
  <c r="C15" i="27"/>
  <c r="B15" i="27"/>
  <c r="A15" i="27"/>
  <c r="X14" i="27"/>
  <c r="W14" i="27"/>
  <c r="P14" i="27"/>
  <c r="O14" i="27"/>
  <c r="N14" i="27"/>
  <c r="M14" i="27"/>
  <c r="H14" i="27"/>
  <c r="F14" i="27"/>
  <c r="E14" i="27"/>
  <c r="D14" i="27"/>
  <c r="C14" i="27"/>
  <c r="B14" i="27"/>
  <c r="A14" i="27"/>
  <c r="R14" i="27" s="1"/>
  <c r="X13" i="27"/>
  <c r="W13" i="27"/>
  <c r="P13" i="27"/>
  <c r="O13" i="27"/>
  <c r="N13" i="27"/>
  <c r="M13" i="27"/>
  <c r="H13" i="27"/>
  <c r="F13" i="27"/>
  <c r="E13" i="27"/>
  <c r="D13" i="27"/>
  <c r="C13" i="27"/>
  <c r="B13" i="27"/>
  <c r="A13" i="27"/>
  <c r="R13" i="27" s="1"/>
  <c r="X12" i="27"/>
  <c r="W12" i="27"/>
  <c r="P12" i="27"/>
  <c r="O12" i="27"/>
  <c r="N12" i="27"/>
  <c r="M12" i="27"/>
  <c r="H12" i="27"/>
  <c r="F12" i="27"/>
  <c r="E12" i="27"/>
  <c r="D12" i="27"/>
  <c r="C12" i="27"/>
  <c r="B12" i="27"/>
  <c r="A12" i="27"/>
  <c r="R12" i="27" s="1"/>
  <c r="X11" i="27"/>
  <c r="W11" i="27"/>
  <c r="P11" i="27"/>
  <c r="O11" i="27"/>
  <c r="N11" i="27"/>
  <c r="M11" i="27"/>
  <c r="H11" i="27"/>
  <c r="F11" i="27"/>
  <c r="E11" i="27"/>
  <c r="D11" i="27"/>
  <c r="C11" i="27"/>
  <c r="B11" i="27"/>
  <c r="A11" i="27"/>
  <c r="X10" i="27"/>
  <c r="W10" i="27"/>
  <c r="P10" i="27"/>
  <c r="O10" i="27"/>
  <c r="N10" i="27"/>
  <c r="M10" i="27"/>
  <c r="H10" i="27"/>
  <c r="F10" i="27"/>
  <c r="E10" i="27"/>
  <c r="D10" i="27"/>
  <c r="C10" i="27"/>
  <c r="B10" i="27"/>
  <c r="A10" i="27"/>
  <c r="R10" i="27" s="1"/>
  <c r="X9" i="27"/>
  <c r="W9" i="27"/>
  <c r="P9" i="27"/>
  <c r="O9" i="27"/>
  <c r="N9" i="27"/>
  <c r="M9" i="27"/>
  <c r="H9" i="27"/>
  <c r="F9" i="27"/>
  <c r="E9" i="27"/>
  <c r="D9" i="27"/>
  <c r="C9" i="27"/>
  <c r="B9" i="27"/>
  <c r="A9" i="27"/>
  <c r="R9" i="27" s="1"/>
  <c r="X8" i="27"/>
  <c r="W8" i="27"/>
  <c r="P8" i="27"/>
  <c r="O8" i="27"/>
  <c r="N8" i="27"/>
  <c r="M8" i="27"/>
  <c r="H8" i="27"/>
  <c r="F8" i="27"/>
  <c r="E8" i="27"/>
  <c r="D8" i="27"/>
  <c r="C8" i="27"/>
  <c r="B8" i="27"/>
  <c r="A8" i="27"/>
  <c r="R8" i="27" s="1"/>
  <c r="R73" i="27"/>
  <c r="R71" i="27"/>
  <c r="R69" i="27"/>
  <c r="R67" i="27"/>
  <c r="R65" i="27"/>
  <c r="R63" i="27"/>
  <c r="R50" i="27"/>
  <c r="R46" i="27"/>
  <c r="R45" i="27"/>
  <c r="R38" i="27"/>
  <c r="R15" i="27"/>
  <c r="R11" i="27"/>
  <c r="J40" i="28" l="1"/>
  <c r="K20" i="28"/>
  <c r="L20" i="28" s="1"/>
  <c r="K48" i="28"/>
  <c r="L48" i="28" s="1"/>
  <c r="K10" i="28"/>
  <c r="L10" i="28" s="1"/>
  <c r="J25" i="28"/>
  <c r="K8" i="28"/>
  <c r="L8" i="28" s="1"/>
  <c r="K9" i="28"/>
  <c r="L9" i="28" s="1"/>
  <c r="S68" i="28"/>
  <c r="U68" i="28" s="1"/>
  <c r="K64" i="28"/>
  <c r="L64" i="28" s="1"/>
  <c r="J16" i="28"/>
  <c r="K44" i="28"/>
  <c r="L44" i="28" s="1"/>
  <c r="K12" i="28"/>
  <c r="L12" i="28" s="1"/>
  <c r="S45" i="28"/>
  <c r="U45" i="28" s="1"/>
  <c r="S23" i="28"/>
  <c r="T23" i="28" s="1"/>
  <c r="V23" i="28" s="1"/>
  <c r="S11" i="28"/>
  <c r="U11" i="28" s="1"/>
  <c r="S20" i="28"/>
  <c r="U20" i="28" s="1"/>
  <c r="J21" i="28"/>
  <c r="J14" i="28"/>
  <c r="S14" i="28" s="1"/>
  <c r="S15" i="28"/>
  <c r="J13" i="28"/>
  <c r="S26" i="28"/>
  <c r="U26" i="28" s="1"/>
  <c r="L24" i="28"/>
  <c r="S24" i="28"/>
  <c r="U24" i="28" s="1"/>
  <c r="L17" i="28"/>
  <c r="S17" i="28"/>
  <c r="U17" i="28" s="1"/>
  <c r="L13" i="28"/>
  <c r="S13" i="28"/>
  <c r="U13" i="28" s="1"/>
  <c r="S62" i="28"/>
  <c r="U62" i="28" s="1"/>
  <c r="J24" i="28"/>
  <c r="J38" i="28"/>
  <c r="J17" i="28"/>
  <c r="S40" i="28"/>
  <c r="U40" i="28" s="1"/>
  <c r="S74" i="28"/>
  <c r="U74" i="28" s="1"/>
  <c r="S66" i="28"/>
  <c r="U66" i="28" s="1"/>
  <c r="S42" i="28"/>
  <c r="U42" i="28" s="1"/>
  <c r="S70" i="28"/>
  <c r="U70" i="28" s="1"/>
  <c r="S43" i="28"/>
  <c r="U43" i="28" s="1"/>
  <c r="S19" i="28"/>
  <c r="U19" i="28" s="1"/>
  <c r="S18" i="28"/>
  <c r="U18" i="28" s="1"/>
  <c r="S72" i="28"/>
  <c r="S71" i="28"/>
  <c r="U71" i="28" s="1"/>
  <c r="S69" i="28"/>
  <c r="U69" i="28" s="1"/>
  <c r="S73" i="28"/>
  <c r="U73" i="28" s="1"/>
  <c r="S65" i="28"/>
  <c r="U65" i="28" s="1"/>
  <c r="S37" i="28"/>
  <c r="S63" i="28"/>
  <c r="U63" i="28" s="1"/>
  <c r="S46" i="28"/>
  <c r="U46" i="28" s="1"/>
  <c r="S50" i="28"/>
  <c r="U50" i="28" s="1"/>
  <c r="S67" i="28"/>
  <c r="U67" i="28" s="1"/>
  <c r="S51" i="28"/>
  <c r="U51" i="28" s="1"/>
  <c r="S39" i="28"/>
  <c r="U39" i="28" s="1"/>
  <c r="S47" i="28"/>
  <c r="S22" i="28"/>
  <c r="S21" i="28"/>
  <c r="S25" i="28"/>
  <c r="S16" i="28"/>
  <c r="S49" i="28"/>
  <c r="S41" i="28"/>
  <c r="S38" i="28"/>
  <c r="T53" i="27"/>
  <c r="V53" i="27" s="1"/>
  <c r="J28" i="27"/>
  <c r="S28" i="27"/>
  <c r="S52" i="27"/>
  <c r="S75" i="27"/>
  <c r="U75" i="27" s="1"/>
  <c r="K27" i="27"/>
  <c r="L27" i="27" s="1"/>
  <c r="S76" i="27"/>
  <c r="U76" i="27" s="1"/>
  <c r="T76" i="27"/>
  <c r="V76" i="27" s="1"/>
  <c r="T75" i="27"/>
  <c r="V75" i="27" s="1"/>
  <c r="Q44" i="27"/>
  <c r="Q48" i="27"/>
  <c r="I67" i="27"/>
  <c r="Q68" i="27"/>
  <c r="I71" i="27"/>
  <c r="K71" i="27" s="1"/>
  <c r="L71" i="27" s="1"/>
  <c r="J26" i="27"/>
  <c r="U52" i="27"/>
  <c r="T52" i="27"/>
  <c r="V52" i="27" s="1"/>
  <c r="S27" i="27"/>
  <c r="U27" i="27" s="1"/>
  <c r="S26" i="27"/>
  <c r="J25" i="27"/>
  <c r="S25" i="27" s="1"/>
  <c r="I68" i="27"/>
  <c r="K68" i="27" s="1"/>
  <c r="L68" i="27" s="1"/>
  <c r="I69" i="27"/>
  <c r="J69" i="27" s="1"/>
  <c r="Q69" i="27"/>
  <c r="I70" i="27"/>
  <c r="J70" i="27" s="1"/>
  <c r="Q70" i="27"/>
  <c r="Q71" i="27"/>
  <c r="Q72" i="27"/>
  <c r="I51" i="27"/>
  <c r="J51" i="27" s="1"/>
  <c r="Q64" i="27"/>
  <c r="J74" i="27"/>
  <c r="S74" i="27" s="1"/>
  <c r="U74" i="27" s="1"/>
  <c r="I43" i="27"/>
  <c r="K43" i="27" s="1"/>
  <c r="L43" i="27" s="1"/>
  <c r="I62" i="27"/>
  <c r="J62" i="27" s="1"/>
  <c r="Q62" i="27"/>
  <c r="I63" i="27"/>
  <c r="K63" i="27" s="1"/>
  <c r="L63" i="27" s="1"/>
  <c r="Q63" i="27"/>
  <c r="I64" i="27"/>
  <c r="J64" i="27" s="1"/>
  <c r="I65" i="27"/>
  <c r="J65" i="27" s="1"/>
  <c r="Q65" i="27"/>
  <c r="I66" i="27"/>
  <c r="J66" i="27" s="1"/>
  <c r="Q66" i="27"/>
  <c r="Q67" i="27"/>
  <c r="I37" i="27"/>
  <c r="K37" i="27" s="1"/>
  <c r="L37" i="27" s="1"/>
  <c r="I47" i="27"/>
  <c r="J47" i="27" s="1"/>
  <c r="Q23" i="27"/>
  <c r="Q37" i="27"/>
  <c r="Q38" i="27"/>
  <c r="I39" i="27"/>
  <c r="K39" i="27" s="1"/>
  <c r="L39" i="27" s="1"/>
  <c r="Q39" i="27"/>
  <c r="Q41" i="27"/>
  <c r="I42" i="27"/>
  <c r="K42" i="27" s="1"/>
  <c r="L42" i="27" s="1"/>
  <c r="Q42" i="27"/>
  <c r="Q43" i="27"/>
  <c r="I44" i="27"/>
  <c r="J44" i="27" s="1"/>
  <c r="Q45" i="27"/>
  <c r="I46" i="27"/>
  <c r="K46" i="27" s="1"/>
  <c r="L46" i="27" s="1"/>
  <c r="Q46" i="27"/>
  <c r="Q47" i="27"/>
  <c r="I48" i="27"/>
  <c r="K48" i="27" s="1"/>
  <c r="L48" i="27" s="1"/>
  <c r="Q49" i="27"/>
  <c r="I50" i="27"/>
  <c r="J50" i="27" s="1"/>
  <c r="Q50" i="27"/>
  <c r="Q51" i="27"/>
  <c r="I8" i="27"/>
  <c r="J8" i="27" s="1"/>
  <c r="Q8" i="27"/>
  <c r="I9" i="27"/>
  <c r="K9" i="27" s="1"/>
  <c r="L9" i="27" s="1"/>
  <c r="Q9" i="27"/>
  <c r="Q10" i="27"/>
  <c r="Q11" i="27"/>
  <c r="I12" i="27"/>
  <c r="J12" i="27" s="1"/>
  <c r="Q12" i="27"/>
  <c r="I13" i="27"/>
  <c r="J13" i="27" s="1"/>
  <c r="Q13" i="27"/>
  <c r="Q14" i="27"/>
  <c r="Q15" i="27"/>
  <c r="I16" i="27"/>
  <c r="K16" i="27" s="1"/>
  <c r="L16" i="27" s="1"/>
  <c r="Q16" i="27"/>
  <c r="I17" i="27"/>
  <c r="J17" i="27" s="1"/>
  <c r="Q17" i="27"/>
  <c r="Q18" i="27"/>
  <c r="Q19" i="27"/>
  <c r="I20" i="27"/>
  <c r="J20" i="27" s="1"/>
  <c r="Q20" i="27"/>
  <c r="I21" i="27"/>
  <c r="K21" i="27" s="1"/>
  <c r="Q21" i="27"/>
  <c r="I22" i="27"/>
  <c r="J22" i="27" s="1"/>
  <c r="Q22" i="27"/>
  <c r="I24" i="27"/>
  <c r="K24" i="27" s="1"/>
  <c r="L24" i="27" s="1"/>
  <c r="Q24" i="27"/>
  <c r="I18" i="27"/>
  <c r="J18" i="27" s="1"/>
  <c r="I14" i="27"/>
  <c r="K14" i="27" s="1"/>
  <c r="L14" i="27" s="1"/>
  <c r="I10" i="27"/>
  <c r="J10" i="27" s="1"/>
  <c r="I72" i="27"/>
  <c r="J72" i="27" s="1"/>
  <c r="I73" i="27"/>
  <c r="K73" i="27" s="1"/>
  <c r="Q73" i="27"/>
  <c r="I11" i="27"/>
  <c r="J11" i="27" s="1"/>
  <c r="I15" i="27"/>
  <c r="K15" i="27" s="1"/>
  <c r="I19" i="27"/>
  <c r="K19" i="27" s="1"/>
  <c r="L19" i="27" s="1"/>
  <c r="I23" i="27"/>
  <c r="K23" i="27" s="1"/>
  <c r="L23" i="27" s="1"/>
  <c r="I38" i="27"/>
  <c r="J38" i="27" s="1"/>
  <c r="I41" i="27"/>
  <c r="J41" i="27" s="1"/>
  <c r="I45" i="27"/>
  <c r="J45" i="27" s="1"/>
  <c r="I49" i="27"/>
  <c r="J49" i="27" s="1"/>
  <c r="J43" i="27"/>
  <c r="K67" i="27"/>
  <c r="L67" i="27" s="1"/>
  <c r="J67" i="27"/>
  <c r="Q40" i="27"/>
  <c r="J68" i="27"/>
  <c r="I40" i="27"/>
  <c r="A40" i="18"/>
  <c r="B40" i="18"/>
  <c r="C40" i="18"/>
  <c r="D40" i="18"/>
  <c r="E40" i="18"/>
  <c r="F40" i="18"/>
  <c r="G40" i="18"/>
  <c r="M40" i="18"/>
  <c r="N40" i="18"/>
  <c r="O40" i="18"/>
  <c r="P40" i="18"/>
  <c r="Q40" i="18"/>
  <c r="R40" i="18"/>
  <c r="W40" i="18"/>
  <c r="X40" i="18"/>
  <c r="A14" i="18"/>
  <c r="B14" i="18"/>
  <c r="C14" i="18"/>
  <c r="D14" i="18"/>
  <c r="E14" i="18"/>
  <c r="F14" i="18"/>
  <c r="H14" i="18"/>
  <c r="M14" i="18"/>
  <c r="N14" i="18"/>
  <c r="Q14" i="18" s="1"/>
  <c r="O14" i="18"/>
  <c r="P14" i="18"/>
  <c r="R14" i="18"/>
  <c r="W14" i="18"/>
  <c r="X14" i="18"/>
  <c r="S48" i="28" l="1"/>
  <c r="T11" i="28"/>
  <c r="V11" i="28" s="1"/>
  <c r="S44" i="28"/>
  <c r="U44" i="28" s="1"/>
  <c r="S64" i="28"/>
  <c r="U64" i="28" s="1"/>
  <c r="T74" i="28"/>
  <c r="V74" i="28" s="1"/>
  <c r="S8" i="28"/>
  <c r="T8" i="28" s="1"/>
  <c r="V8" i="28" s="1"/>
  <c r="U23" i="28"/>
  <c r="S10" i="28"/>
  <c r="U10" i="28" s="1"/>
  <c r="T70" i="28"/>
  <c r="V70" i="28" s="1"/>
  <c r="S12" i="28"/>
  <c r="U12" i="28" s="1"/>
  <c r="T68" i="28"/>
  <c r="V68" i="28" s="1"/>
  <c r="S9" i="28"/>
  <c r="U9" i="28" s="1"/>
  <c r="T45" i="28"/>
  <c r="V45" i="28" s="1"/>
  <c r="T20" i="28"/>
  <c r="V20" i="28" s="1"/>
  <c r="T18" i="28"/>
  <c r="V18" i="28" s="1"/>
  <c r="T69" i="28"/>
  <c r="V69" i="28" s="1"/>
  <c r="T26" i="28"/>
  <c r="V26" i="28" s="1"/>
  <c r="T44" i="28"/>
  <c r="V44" i="28" s="1"/>
  <c r="T62" i="28"/>
  <c r="V62" i="28" s="1"/>
  <c r="T40" i="28"/>
  <c r="V40" i="28" s="1"/>
  <c r="T50" i="28"/>
  <c r="V50" i="28" s="1"/>
  <c r="U15" i="28"/>
  <c r="T15" i="28"/>
  <c r="V15" i="28" s="1"/>
  <c r="T24" i="28"/>
  <c r="V24" i="28" s="1"/>
  <c r="T46" i="28"/>
  <c r="V46" i="28" s="1"/>
  <c r="T71" i="28"/>
  <c r="V71" i="28" s="1"/>
  <c r="T13" i="28"/>
  <c r="V13" i="28" s="1"/>
  <c r="T17" i="28"/>
  <c r="V17" i="28" s="1"/>
  <c r="T51" i="28"/>
  <c r="V51" i="28" s="1"/>
  <c r="T73" i="28"/>
  <c r="V73" i="28" s="1"/>
  <c r="T42" i="28"/>
  <c r="V42" i="28" s="1"/>
  <c r="T63" i="28"/>
  <c r="V63" i="28" s="1"/>
  <c r="T19" i="28"/>
  <c r="V19" i="28" s="1"/>
  <c r="T39" i="28"/>
  <c r="V39" i="28" s="1"/>
  <c r="T43" i="28"/>
  <c r="V43" i="28" s="1"/>
  <c r="T65" i="28"/>
  <c r="V65" i="28" s="1"/>
  <c r="T66" i="28"/>
  <c r="V66" i="28" s="1"/>
  <c r="T67" i="28"/>
  <c r="V67" i="28" s="1"/>
  <c r="T64" i="28"/>
  <c r="V64" i="28" s="1"/>
  <c r="U37" i="28"/>
  <c r="T37" i="28"/>
  <c r="V37" i="28" s="1"/>
  <c r="U72" i="28"/>
  <c r="T72" i="28"/>
  <c r="V72" i="28" s="1"/>
  <c r="U49" i="28"/>
  <c r="T49" i="28"/>
  <c r="V49" i="28" s="1"/>
  <c r="U22" i="28"/>
  <c r="T22" i="28"/>
  <c r="V22" i="28" s="1"/>
  <c r="U21" i="28"/>
  <c r="T21" i="28"/>
  <c r="V21" i="28" s="1"/>
  <c r="U48" i="28"/>
  <c r="T48" i="28"/>
  <c r="V48" i="28" s="1"/>
  <c r="U47" i="28"/>
  <c r="T47" i="28"/>
  <c r="V47" i="28" s="1"/>
  <c r="U38" i="28"/>
  <c r="T38" i="28"/>
  <c r="V38" i="28" s="1"/>
  <c r="U25" i="28"/>
  <c r="T25" i="28"/>
  <c r="V25" i="28" s="1"/>
  <c r="U41" i="28"/>
  <c r="T41" i="28"/>
  <c r="V41" i="28" s="1"/>
  <c r="U16" i="28"/>
  <c r="T16" i="28"/>
  <c r="V16" i="28" s="1"/>
  <c r="U14" i="28"/>
  <c r="T14" i="28"/>
  <c r="V14" i="28" s="1"/>
  <c r="U28" i="27"/>
  <c r="T28" i="27"/>
  <c r="V28" i="27" s="1"/>
  <c r="J71" i="27"/>
  <c r="K70" i="27"/>
  <c r="L70" i="27" s="1"/>
  <c r="T27" i="27"/>
  <c r="V27" i="27" s="1"/>
  <c r="K65" i="27"/>
  <c r="L65" i="27" s="1"/>
  <c r="K69" i="27"/>
  <c r="L69" i="27" s="1"/>
  <c r="K62" i="27"/>
  <c r="L62" i="27" s="1"/>
  <c r="J48" i="27"/>
  <c r="J37" i="27"/>
  <c r="U26" i="27"/>
  <c r="T26" i="27"/>
  <c r="V26" i="27" s="1"/>
  <c r="U25" i="27"/>
  <c r="T25" i="27"/>
  <c r="V25" i="27" s="1"/>
  <c r="K66" i="27"/>
  <c r="L66" i="27" s="1"/>
  <c r="K47" i="27"/>
  <c r="L47" i="27" s="1"/>
  <c r="K64" i="27"/>
  <c r="L64" i="27" s="1"/>
  <c r="K51" i="27"/>
  <c r="L51" i="27" s="1"/>
  <c r="J14" i="27"/>
  <c r="K13" i="27"/>
  <c r="L13" i="27" s="1"/>
  <c r="T74" i="27"/>
  <c r="V74" i="27" s="1"/>
  <c r="K20" i="27"/>
  <c r="L20" i="27" s="1"/>
  <c r="K44" i="27"/>
  <c r="L44" i="27" s="1"/>
  <c r="J63" i="27"/>
  <c r="J9" i="27"/>
  <c r="K49" i="27"/>
  <c r="L49" i="27" s="1"/>
  <c r="K72" i="27"/>
  <c r="L72" i="27" s="1"/>
  <c r="J46" i="27"/>
  <c r="K41" i="27"/>
  <c r="L41" i="27" s="1"/>
  <c r="J42" i="27"/>
  <c r="J39" i="27"/>
  <c r="J16" i="27"/>
  <c r="J24" i="27"/>
  <c r="J21" i="27"/>
  <c r="J23" i="27"/>
  <c r="K45" i="27"/>
  <c r="L45" i="27" s="1"/>
  <c r="K18" i="27"/>
  <c r="L18" i="27" s="1"/>
  <c r="L21" i="27"/>
  <c r="S21" i="27"/>
  <c r="U21" i="27" s="1"/>
  <c r="S19" i="27"/>
  <c r="U19" i="27" s="1"/>
  <c r="S46" i="27"/>
  <c r="U46" i="27" s="1"/>
  <c r="S23" i="27"/>
  <c r="U23" i="27" s="1"/>
  <c r="K50" i="27"/>
  <c r="L50" i="27" s="1"/>
  <c r="K8" i="27"/>
  <c r="L8" i="27" s="1"/>
  <c r="J19" i="27"/>
  <c r="K10" i="27"/>
  <c r="L10" i="27" s="1"/>
  <c r="L73" i="27"/>
  <c r="S73" i="27"/>
  <c r="U73" i="27" s="1"/>
  <c r="S67" i="27"/>
  <c r="U67" i="27" s="1"/>
  <c r="S43" i="27"/>
  <c r="U43" i="27" s="1"/>
  <c r="K38" i="27"/>
  <c r="L38" i="27" s="1"/>
  <c r="K22" i="27"/>
  <c r="L22" i="27" s="1"/>
  <c r="K11" i="27"/>
  <c r="L11" i="27" s="1"/>
  <c r="K17" i="27"/>
  <c r="L17" i="27" s="1"/>
  <c r="J73" i="27"/>
  <c r="K12" i="27"/>
  <c r="L12" i="27" s="1"/>
  <c r="S18" i="27"/>
  <c r="U18" i="27" s="1"/>
  <c r="J15" i="27"/>
  <c r="L15" i="27"/>
  <c r="S15" i="27"/>
  <c r="U15" i="27" s="1"/>
  <c r="S71" i="27"/>
  <c r="U71" i="27" s="1"/>
  <c r="S68" i="27"/>
  <c r="U68" i="27" s="1"/>
  <c r="S45" i="27"/>
  <c r="U45" i="27" s="1"/>
  <c r="S63" i="27"/>
  <c r="S48" i="27"/>
  <c r="U48" i="27" s="1"/>
  <c r="S64" i="27"/>
  <c r="U64" i="27" s="1"/>
  <c r="S24" i="27"/>
  <c r="U24" i="27" s="1"/>
  <c r="S37" i="27"/>
  <c r="U37" i="27" s="1"/>
  <c r="S70" i="27"/>
  <c r="U70" i="27" s="1"/>
  <c r="S62" i="27"/>
  <c r="U62" i="27" s="1"/>
  <c r="S16" i="27"/>
  <c r="S14" i="27"/>
  <c r="S39" i="27"/>
  <c r="K40" i="27"/>
  <c r="L40" i="27" s="1"/>
  <c r="J40" i="27"/>
  <c r="T46" i="27"/>
  <c r="V46" i="27" s="1"/>
  <c r="S42" i="27"/>
  <c r="S47" i="27"/>
  <c r="S13" i="27"/>
  <c r="S9" i="27"/>
  <c r="I40" i="18"/>
  <c r="J40" i="18" s="1"/>
  <c r="I14" i="18"/>
  <c r="J14" i="18" s="1"/>
  <c r="A49" i="18"/>
  <c r="B49" i="18"/>
  <c r="C49" i="18"/>
  <c r="D49" i="18"/>
  <c r="E49" i="18"/>
  <c r="F49" i="18"/>
  <c r="G49" i="18"/>
  <c r="M49" i="18"/>
  <c r="N49" i="18"/>
  <c r="O49" i="18"/>
  <c r="P49" i="18"/>
  <c r="R49" i="18"/>
  <c r="W49" i="18"/>
  <c r="X49" i="18"/>
  <c r="A50" i="18"/>
  <c r="R50" i="18" s="1"/>
  <c r="B50" i="18"/>
  <c r="C50" i="18"/>
  <c r="D50" i="18"/>
  <c r="E50" i="18"/>
  <c r="F50" i="18"/>
  <c r="G50" i="18"/>
  <c r="M50" i="18"/>
  <c r="N50" i="18"/>
  <c r="O50" i="18"/>
  <c r="P50" i="18"/>
  <c r="W50" i="18"/>
  <c r="X50" i="18"/>
  <c r="A25" i="18"/>
  <c r="R25" i="18" s="1"/>
  <c r="B25" i="18"/>
  <c r="C25" i="18"/>
  <c r="D25" i="18"/>
  <c r="E25" i="18"/>
  <c r="F25" i="18"/>
  <c r="H25" i="18"/>
  <c r="M25" i="18"/>
  <c r="N25" i="18"/>
  <c r="O25" i="18"/>
  <c r="P25" i="18"/>
  <c r="W25" i="18"/>
  <c r="X25" i="18"/>
  <c r="T10" i="28" l="1"/>
  <c r="V10" i="28" s="1"/>
  <c r="U8" i="28"/>
  <c r="T12" i="28"/>
  <c r="V12" i="28" s="1"/>
  <c r="T9" i="28"/>
  <c r="V9" i="28" s="1"/>
  <c r="S20" i="27"/>
  <c r="U20" i="27" s="1"/>
  <c r="S69" i="27"/>
  <c r="U69" i="27" s="1"/>
  <c r="S22" i="27"/>
  <c r="U22" i="27" s="1"/>
  <c r="S65" i="27"/>
  <c r="U65" i="27" s="1"/>
  <c r="S49" i="27"/>
  <c r="U49" i="27" s="1"/>
  <c r="S51" i="27"/>
  <c r="U51" i="27" s="1"/>
  <c r="T68" i="27"/>
  <c r="V68" i="27" s="1"/>
  <c r="T62" i="27"/>
  <c r="V62" i="27" s="1"/>
  <c r="S44" i="27"/>
  <c r="T44" i="27" s="1"/>
  <c r="V44" i="27" s="1"/>
  <c r="T73" i="27"/>
  <c r="V73" i="27" s="1"/>
  <c r="S72" i="27"/>
  <c r="U72" i="27" s="1"/>
  <c r="T18" i="27"/>
  <c r="V18" i="27" s="1"/>
  <c r="S66" i="27"/>
  <c r="U66" i="27" s="1"/>
  <c r="S11" i="27"/>
  <c r="U11" i="27" s="1"/>
  <c r="S41" i="27"/>
  <c r="T41" i="27" s="1"/>
  <c r="V41" i="27" s="1"/>
  <c r="T48" i="27"/>
  <c r="V48" i="27" s="1"/>
  <c r="S50" i="27"/>
  <c r="U50" i="27" s="1"/>
  <c r="T43" i="27"/>
  <c r="V43" i="27" s="1"/>
  <c r="T23" i="27"/>
  <c r="V23" i="27" s="1"/>
  <c r="T69" i="27"/>
  <c r="V69" i="27" s="1"/>
  <c r="T71" i="27"/>
  <c r="V71" i="27" s="1"/>
  <c r="T24" i="27"/>
  <c r="V24" i="27" s="1"/>
  <c r="S12" i="27"/>
  <c r="T12" i="27" s="1"/>
  <c r="V12" i="27" s="1"/>
  <c r="T21" i="27"/>
  <c r="V21" i="27" s="1"/>
  <c r="T19" i="27"/>
  <c r="V19" i="27" s="1"/>
  <c r="S8" i="27"/>
  <c r="T8" i="27" s="1"/>
  <c r="V8" i="27" s="1"/>
  <c r="T45" i="27"/>
  <c r="V45" i="27" s="1"/>
  <c r="S38" i="27"/>
  <c r="U38" i="27" s="1"/>
  <c r="S10" i="27"/>
  <c r="T67" i="27"/>
  <c r="V67" i="27" s="1"/>
  <c r="S17" i="27"/>
  <c r="T15" i="27"/>
  <c r="V15" i="27" s="1"/>
  <c r="T70" i="27"/>
  <c r="V70" i="27" s="1"/>
  <c r="T64" i="27"/>
  <c r="V64" i="27" s="1"/>
  <c r="T37" i="27"/>
  <c r="V37" i="27" s="1"/>
  <c r="U63" i="27"/>
  <c r="T63" i="27"/>
  <c r="V63" i="27" s="1"/>
  <c r="U12" i="27"/>
  <c r="U47" i="27"/>
  <c r="T47" i="27"/>
  <c r="V47" i="27" s="1"/>
  <c r="U16" i="27"/>
  <c r="T16" i="27"/>
  <c r="V16" i="27" s="1"/>
  <c r="U9" i="27"/>
  <c r="T9" i="27"/>
  <c r="V9" i="27" s="1"/>
  <c r="U8" i="27"/>
  <c r="U39" i="27"/>
  <c r="T39" i="27"/>
  <c r="V39" i="27" s="1"/>
  <c r="S40" i="27"/>
  <c r="U14" i="27"/>
  <c r="T14" i="27"/>
  <c r="V14" i="27" s="1"/>
  <c r="T49" i="27"/>
  <c r="V49" i="27" s="1"/>
  <c r="U13" i="27"/>
  <c r="T13" i="27"/>
  <c r="V13" i="27" s="1"/>
  <c r="U42" i="27"/>
  <c r="T42" i="27"/>
  <c r="V42" i="27" s="1"/>
  <c r="T22" i="27"/>
  <c r="V22" i="27" s="1"/>
  <c r="K14" i="18"/>
  <c r="L14" i="18" s="1"/>
  <c r="K40" i="18"/>
  <c r="S14" i="18"/>
  <c r="Q49" i="18"/>
  <c r="Q25" i="18"/>
  <c r="I25" i="18"/>
  <c r="J25" i="18" s="1"/>
  <c r="Q50" i="18"/>
  <c r="I50" i="18"/>
  <c r="K50" i="18" s="1"/>
  <c r="L50" i="18" s="1"/>
  <c r="I49" i="18"/>
  <c r="J49" i="18" s="1"/>
  <c r="T67" i="25"/>
  <c r="S67" i="25"/>
  <c r="N67" i="25"/>
  <c r="M67" i="25"/>
  <c r="L67" i="25"/>
  <c r="H67" i="25"/>
  <c r="D67" i="25"/>
  <c r="C67" i="25"/>
  <c r="B67" i="25"/>
  <c r="A67" i="25"/>
  <c r="T66" i="25"/>
  <c r="S66" i="25"/>
  <c r="N66" i="25"/>
  <c r="M66" i="25"/>
  <c r="L66" i="25"/>
  <c r="H66" i="25"/>
  <c r="D66" i="25"/>
  <c r="C66" i="25"/>
  <c r="B66" i="25"/>
  <c r="A66" i="25"/>
  <c r="T65" i="25"/>
  <c r="S65" i="25"/>
  <c r="N65" i="25"/>
  <c r="M65" i="25"/>
  <c r="L65" i="25"/>
  <c r="H65" i="25"/>
  <c r="D65" i="25"/>
  <c r="C65" i="25"/>
  <c r="B65" i="25"/>
  <c r="A65" i="25"/>
  <c r="T64" i="25"/>
  <c r="S64" i="25"/>
  <c r="N64" i="25"/>
  <c r="M64" i="25"/>
  <c r="L64" i="25"/>
  <c r="H64" i="25"/>
  <c r="D64" i="25"/>
  <c r="C64" i="25"/>
  <c r="B64" i="25"/>
  <c r="A64" i="25"/>
  <c r="T63" i="25"/>
  <c r="S63" i="25"/>
  <c r="N63" i="25"/>
  <c r="M63" i="25"/>
  <c r="L63" i="25"/>
  <c r="H63" i="25"/>
  <c r="G63" i="25"/>
  <c r="D63" i="25"/>
  <c r="C63" i="25"/>
  <c r="B63" i="25"/>
  <c r="A63" i="25"/>
  <c r="T62" i="25"/>
  <c r="S62" i="25"/>
  <c r="N62" i="25"/>
  <c r="M62" i="25"/>
  <c r="L62" i="25"/>
  <c r="H62" i="25"/>
  <c r="D62" i="25"/>
  <c r="C62" i="25"/>
  <c r="B62" i="25"/>
  <c r="A62" i="25"/>
  <c r="T61" i="25"/>
  <c r="S61" i="25"/>
  <c r="N61" i="25"/>
  <c r="M61" i="25"/>
  <c r="L61" i="25"/>
  <c r="H61" i="25"/>
  <c r="G61" i="25"/>
  <c r="D61" i="25"/>
  <c r="C61" i="25"/>
  <c r="B61" i="25"/>
  <c r="A61" i="25"/>
  <c r="T60" i="25"/>
  <c r="S60" i="25"/>
  <c r="N60" i="25"/>
  <c r="M60" i="25"/>
  <c r="L60" i="25"/>
  <c r="H60" i="25"/>
  <c r="G60" i="25"/>
  <c r="D60" i="25"/>
  <c r="C60" i="25"/>
  <c r="B60" i="25"/>
  <c r="A60" i="25"/>
  <c r="T59" i="25"/>
  <c r="S59" i="25"/>
  <c r="N59" i="25"/>
  <c r="M59" i="25"/>
  <c r="L59" i="25"/>
  <c r="H59" i="25"/>
  <c r="D59" i="25"/>
  <c r="C59" i="25"/>
  <c r="B59" i="25"/>
  <c r="A59" i="25"/>
  <c r="T58" i="25"/>
  <c r="S58" i="25"/>
  <c r="N58" i="25"/>
  <c r="M58" i="25"/>
  <c r="L58" i="25"/>
  <c r="H58" i="25"/>
  <c r="D58" i="25"/>
  <c r="C58" i="25"/>
  <c r="B58" i="25"/>
  <c r="A58" i="25"/>
  <c r="T57" i="25"/>
  <c r="S57" i="25"/>
  <c r="N57" i="25"/>
  <c r="M57" i="25"/>
  <c r="L57" i="25"/>
  <c r="H57" i="25"/>
  <c r="G57" i="25"/>
  <c r="E57" i="25"/>
  <c r="D57" i="25"/>
  <c r="C57" i="25"/>
  <c r="B57" i="25"/>
  <c r="A57" i="25"/>
  <c r="T56" i="25"/>
  <c r="S56" i="25"/>
  <c r="N56" i="25"/>
  <c r="M56" i="25"/>
  <c r="L56" i="25"/>
  <c r="H56" i="25"/>
  <c r="D56" i="25"/>
  <c r="C56" i="25"/>
  <c r="B56" i="25"/>
  <c r="A56" i="25"/>
  <c r="T55" i="25"/>
  <c r="S55" i="25"/>
  <c r="N55" i="25"/>
  <c r="M55" i="25"/>
  <c r="L55" i="25"/>
  <c r="H55" i="25"/>
  <c r="D55" i="25"/>
  <c r="C55" i="25"/>
  <c r="B55" i="25"/>
  <c r="A55" i="25"/>
  <c r="T54" i="25"/>
  <c r="S54" i="25"/>
  <c r="N54" i="25"/>
  <c r="M54" i="25"/>
  <c r="L54" i="25"/>
  <c r="H54" i="25"/>
  <c r="D54" i="25"/>
  <c r="C54" i="25"/>
  <c r="B54" i="25"/>
  <c r="A54" i="25"/>
  <c r="T53" i="25"/>
  <c r="S53" i="25"/>
  <c r="N53" i="25"/>
  <c r="M53" i="25"/>
  <c r="L53" i="25"/>
  <c r="H53" i="25"/>
  <c r="D53" i="25"/>
  <c r="C53" i="25"/>
  <c r="B53" i="25"/>
  <c r="A53" i="25"/>
  <c r="N44" i="25"/>
  <c r="M44" i="25"/>
  <c r="L44" i="25"/>
  <c r="G44" i="25"/>
  <c r="F44" i="25"/>
  <c r="D44" i="25"/>
  <c r="C44" i="25"/>
  <c r="B44" i="25"/>
  <c r="A44" i="25"/>
  <c r="N43" i="25"/>
  <c r="M43" i="25"/>
  <c r="L43" i="25"/>
  <c r="G43" i="25"/>
  <c r="F43" i="25"/>
  <c r="D43" i="25"/>
  <c r="C43" i="25"/>
  <c r="B43" i="25"/>
  <c r="A43" i="25"/>
  <c r="N42" i="25"/>
  <c r="M42" i="25"/>
  <c r="L42" i="25"/>
  <c r="G42" i="25"/>
  <c r="F42" i="25"/>
  <c r="D42" i="25"/>
  <c r="C42" i="25"/>
  <c r="B42" i="25"/>
  <c r="A42" i="25"/>
  <c r="N41" i="25"/>
  <c r="M41" i="25"/>
  <c r="L41" i="25"/>
  <c r="G41" i="25"/>
  <c r="F41" i="25"/>
  <c r="D41" i="25"/>
  <c r="C41" i="25"/>
  <c r="B41" i="25"/>
  <c r="A41" i="25"/>
  <c r="N40" i="25"/>
  <c r="M40" i="25"/>
  <c r="L40" i="25"/>
  <c r="G40" i="25"/>
  <c r="F40" i="25"/>
  <c r="D40" i="25"/>
  <c r="C40" i="25"/>
  <c r="B40" i="25"/>
  <c r="A40" i="25"/>
  <c r="N39" i="25"/>
  <c r="M39" i="25"/>
  <c r="L39" i="25"/>
  <c r="G39" i="25"/>
  <c r="F39" i="25"/>
  <c r="D39" i="25"/>
  <c r="C39" i="25"/>
  <c r="B39" i="25"/>
  <c r="A39" i="25"/>
  <c r="N38" i="25"/>
  <c r="M38" i="25"/>
  <c r="L38" i="25"/>
  <c r="G38" i="25"/>
  <c r="F38" i="25"/>
  <c r="D38" i="25"/>
  <c r="C38" i="25"/>
  <c r="B38" i="25"/>
  <c r="A38" i="25"/>
  <c r="T37" i="25"/>
  <c r="S37" i="25"/>
  <c r="N37" i="25"/>
  <c r="M37" i="25"/>
  <c r="L37" i="25"/>
  <c r="G37" i="25"/>
  <c r="D37" i="25"/>
  <c r="C37" i="25"/>
  <c r="B37" i="25"/>
  <c r="A37" i="25"/>
  <c r="T36" i="25"/>
  <c r="S36" i="25"/>
  <c r="N36" i="25"/>
  <c r="M36" i="25"/>
  <c r="L36" i="25"/>
  <c r="G36" i="25"/>
  <c r="F36" i="25"/>
  <c r="E36" i="25"/>
  <c r="D36" i="25"/>
  <c r="C36" i="25"/>
  <c r="B36" i="25"/>
  <c r="A36" i="25"/>
  <c r="T35" i="25"/>
  <c r="S35" i="25"/>
  <c r="N35" i="25"/>
  <c r="M35" i="25"/>
  <c r="L35" i="25"/>
  <c r="G35" i="25"/>
  <c r="F35" i="25"/>
  <c r="E35" i="25"/>
  <c r="D35" i="25"/>
  <c r="C35" i="25"/>
  <c r="B35" i="25"/>
  <c r="A35" i="25"/>
  <c r="T34" i="25"/>
  <c r="S34" i="25"/>
  <c r="N34" i="25"/>
  <c r="M34" i="25"/>
  <c r="L34" i="25"/>
  <c r="G34" i="25"/>
  <c r="F34" i="25"/>
  <c r="D34" i="25"/>
  <c r="C34" i="25"/>
  <c r="B34" i="25"/>
  <c r="A34" i="25"/>
  <c r="T33" i="25"/>
  <c r="S33" i="25"/>
  <c r="N33" i="25"/>
  <c r="M33" i="25"/>
  <c r="L33" i="25"/>
  <c r="G33" i="25"/>
  <c r="F33" i="25"/>
  <c r="D33" i="25"/>
  <c r="C33" i="25"/>
  <c r="B33" i="25"/>
  <c r="A33" i="25"/>
  <c r="T32" i="25"/>
  <c r="S32" i="25"/>
  <c r="N32" i="25"/>
  <c r="M32" i="25"/>
  <c r="L32" i="25"/>
  <c r="H32" i="25"/>
  <c r="G32" i="25"/>
  <c r="F32" i="25"/>
  <c r="D32" i="25"/>
  <c r="C32" i="25"/>
  <c r="B32" i="25"/>
  <c r="A32" i="25"/>
  <c r="T31" i="25"/>
  <c r="S31" i="25"/>
  <c r="N31" i="25"/>
  <c r="M31" i="25"/>
  <c r="L31" i="25"/>
  <c r="G31" i="25"/>
  <c r="F31" i="25"/>
  <c r="D31" i="25"/>
  <c r="C31" i="25"/>
  <c r="B31" i="25"/>
  <c r="A31" i="25"/>
  <c r="T22" i="25"/>
  <c r="S22" i="25"/>
  <c r="N22" i="25"/>
  <c r="M22" i="25"/>
  <c r="L22" i="25"/>
  <c r="H22" i="25"/>
  <c r="D22" i="25"/>
  <c r="C22" i="25"/>
  <c r="B22" i="25"/>
  <c r="A22" i="25"/>
  <c r="T21" i="25"/>
  <c r="S21" i="25"/>
  <c r="N21" i="25"/>
  <c r="M21" i="25"/>
  <c r="L21" i="25"/>
  <c r="H21" i="25"/>
  <c r="D21" i="25"/>
  <c r="C21" i="25"/>
  <c r="B21" i="25"/>
  <c r="A21" i="25"/>
  <c r="T20" i="25"/>
  <c r="S20" i="25"/>
  <c r="N20" i="25"/>
  <c r="M20" i="25"/>
  <c r="L20" i="25"/>
  <c r="H20" i="25"/>
  <c r="D20" i="25"/>
  <c r="C20" i="25"/>
  <c r="B20" i="25"/>
  <c r="A20" i="25"/>
  <c r="T19" i="25"/>
  <c r="S19" i="25"/>
  <c r="N19" i="25"/>
  <c r="M19" i="25"/>
  <c r="L19" i="25"/>
  <c r="H19" i="25"/>
  <c r="D19" i="25"/>
  <c r="C19" i="25"/>
  <c r="B19" i="25"/>
  <c r="A19" i="25"/>
  <c r="T18" i="25"/>
  <c r="S18" i="25"/>
  <c r="N18" i="25"/>
  <c r="M18" i="25"/>
  <c r="L18" i="25"/>
  <c r="H18" i="25"/>
  <c r="D18" i="25"/>
  <c r="C18" i="25"/>
  <c r="B18" i="25"/>
  <c r="A18" i="25"/>
  <c r="T17" i="25"/>
  <c r="S17" i="25"/>
  <c r="N17" i="25"/>
  <c r="M17" i="25"/>
  <c r="L17" i="25"/>
  <c r="H17" i="25"/>
  <c r="D17" i="25"/>
  <c r="C17" i="25"/>
  <c r="B17" i="25"/>
  <c r="A17" i="25"/>
  <c r="T16" i="25"/>
  <c r="S16" i="25"/>
  <c r="N16" i="25"/>
  <c r="M16" i="25"/>
  <c r="L16" i="25"/>
  <c r="H16" i="25"/>
  <c r="D16" i="25"/>
  <c r="C16" i="25"/>
  <c r="B16" i="25"/>
  <c r="A16" i="25"/>
  <c r="T15" i="25"/>
  <c r="S15" i="25"/>
  <c r="N15" i="25"/>
  <c r="M15" i="25"/>
  <c r="L15" i="25"/>
  <c r="H15" i="25"/>
  <c r="D15" i="25"/>
  <c r="C15" i="25"/>
  <c r="B15" i="25"/>
  <c r="A15" i="25"/>
  <c r="T14" i="25"/>
  <c r="S14" i="25"/>
  <c r="N14" i="25"/>
  <c r="M14" i="25"/>
  <c r="L14" i="25"/>
  <c r="D14" i="25"/>
  <c r="C14" i="25"/>
  <c r="B14" i="25"/>
  <c r="A14" i="25"/>
  <c r="T13" i="25"/>
  <c r="S13" i="25"/>
  <c r="N13" i="25"/>
  <c r="M13" i="25"/>
  <c r="L13" i="25"/>
  <c r="H13" i="25"/>
  <c r="E13" i="25"/>
  <c r="D13" i="25"/>
  <c r="C13" i="25"/>
  <c r="B13" i="25"/>
  <c r="A13" i="25"/>
  <c r="T12" i="25"/>
  <c r="S12" i="25"/>
  <c r="N12" i="25"/>
  <c r="M12" i="25"/>
  <c r="L12" i="25"/>
  <c r="H12" i="25"/>
  <c r="E12" i="25"/>
  <c r="D12" i="25"/>
  <c r="C12" i="25"/>
  <c r="B12" i="25"/>
  <c r="A12" i="25"/>
  <c r="T11" i="25"/>
  <c r="S11" i="25"/>
  <c r="N11" i="25"/>
  <c r="M11" i="25"/>
  <c r="L11" i="25"/>
  <c r="H11" i="25"/>
  <c r="D11" i="25"/>
  <c r="C11" i="25"/>
  <c r="B11" i="25"/>
  <c r="A11" i="25"/>
  <c r="T10" i="25"/>
  <c r="S10" i="25"/>
  <c r="N10" i="25"/>
  <c r="M10" i="25"/>
  <c r="L10" i="25"/>
  <c r="H10" i="25"/>
  <c r="D10" i="25"/>
  <c r="C10" i="25"/>
  <c r="B10" i="25"/>
  <c r="A10" i="25"/>
  <c r="T9" i="25"/>
  <c r="S9" i="25"/>
  <c r="N9" i="25"/>
  <c r="M9" i="25"/>
  <c r="L9" i="25"/>
  <c r="H9" i="25"/>
  <c r="D9" i="25"/>
  <c r="C9" i="25"/>
  <c r="B9" i="25"/>
  <c r="A9" i="25"/>
  <c r="T8" i="25"/>
  <c r="S8" i="25"/>
  <c r="N8" i="25"/>
  <c r="M8" i="25"/>
  <c r="L8" i="25"/>
  <c r="H8" i="25"/>
  <c r="D8" i="25"/>
  <c r="C8" i="25"/>
  <c r="B8" i="25"/>
  <c r="A8" i="25"/>
  <c r="I67" i="25"/>
  <c r="J67" i="25" s="1"/>
  <c r="O67" i="25" s="1"/>
  <c r="I66" i="25"/>
  <c r="J66" i="25" s="1"/>
  <c r="O66" i="25" s="1"/>
  <c r="I65" i="25"/>
  <c r="J65" i="25" s="1"/>
  <c r="O65" i="25" s="1"/>
  <c r="I64" i="25"/>
  <c r="J64" i="25" s="1"/>
  <c r="O64" i="25" s="1"/>
  <c r="I63" i="25"/>
  <c r="J63" i="25" s="1"/>
  <c r="O63" i="25" s="1"/>
  <c r="I62" i="25"/>
  <c r="J62" i="25" s="1"/>
  <c r="O62" i="25" s="1"/>
  <c r="I61" i="25"/>
  <c r="J61" i="25" s="1"/>
  <c r="O61" i="25" s="1"/>
  <c r="I60" i="25"/>
  <c r="J60" i="25" s="1"/>
  <c r="O60" i="25" s="1"/>
  <c r="I59" i="25"/>
  <c r="J59" i="25" s="1"/>
  <c r="O59" i="25" s="1"/>
  <c r="I58" i="25"/>
  <c r="J58" i="25" s="1"/>
  <c r="O58" i="25" s="1"/>
  <c r="I57" i="25"/>
  <c r="J57" i="25" s="1"/>
  <c r="O57" i="25" s="1"/>
  <c r="I56" i="25"/>
  <c r="J56" i="25" s="1"/>
  <c r="O56" i="25" s="1"/>
  <c r="I55" i="25"/>
  <c r="J55" i="25" s="1"/>
  <c r="O55" i="25" s="1"/>
  <c r="I54" i="25"/>
  <c r="J54" i="25" s="1"/>
  <c r="O54" i="25" s="1"/>
  <c r="I53" i="25"/>
  <c r="J53" i="25" s="1"/>
  <c r="O53" i="25" s="1"/>
  <c r="I44" i="25"/>
  <c r="J44" i="25" s="1"/>
  <c r="O44" i="25" s="1"/>
  <c r="I43" i="25"/>
  <c r="J43" i="25" s="1"/>
  <c r="O43" i="25" s="1"/>
  <c r="I42" i="25"/>
  <c r="J42" i="25" s="1"/>
  <c r="O42" i="25" s="1"/>
  <c r="I41" i="25"/>
  <c r="J41" i="25" s="1"/>
  <c r="O41" i="25" s="1"/>
  <c r="I40" i="25"/>
  <c r="J40" i="25" s="1"/>
  <c r="O40" i="25" s="1"/>
  <c r="I39" i="25"/>
  <c r="J39" i="25" s="1"/>
  <c r="O39" i="25" s="1"/>
  <c r="I38" i="25"/>
  <c r="J38" i="25" s="1"/>
  <c r="O38" i="25" s="1"/>
  <c r="I37" i="25"/>
  <c r="J37" i="25" s="1"/>
  <c r="O37" i="25" s="1"/>
  <c r="I36" i="25"/>
  <c r="J36" i="25" s="1"/>
  <c r="O36" i="25" s="1"/>
  <c r="I35" i="25"/>
  <c r="J35" i="25" s="1"/>
  <c r="O35" i="25" s="1"/>
  <c r="I34" i="25"/>
  <c r="J34" i="25" s="1"/>
  <c r="O34" i="25" s="1"/>
  <c r="I33" i="25"/>
  <c r="J33" i="25" s="1"/>
  <c r="O33" i="25" s="1"/>
  <c r="I32" i="25"/>
  <c r="J32" i="25" s="1"/>
  <c r="O32" i="25" s="1"/>
  <c r="I31" i="25"/>
  <c r="J31" i="25" s="1"/>
  <c r="O31" i="25" s="1"/>
  <c r="I22" i="25"/>
  <c r="J22" i="25" s="1"/>
  <c r="O22" i="25" s="1"/>
  <c r="I21" i="25"/>
  <c r="J21" i="25" s="1"/>
  <c r="O21" i="25" s="1"/>
  <c r="I20" i="25"/>
  <c r="J20" i="25" s="1"/>
  <c r="O20" i="25" s="1"/>
  <c r="I19" i="25"/>
  <c r="J19" i="25" s="1"/>
  <c r="O19" i="25" s="1"/>
  <c r="I18" i="25"/>
  <c r="J18" i="25" s="1"/>
  <c r="O18" i="25" s="1"/>
  <c r="I17" i="25"/>
  <c r="J17" i="25" s="1"/>
  <c r="O17" i="25" s="1"/>
  <c r="I16" i="25"/>
  <c r="J16" i="25" s="1"/>
  <c r="O16" i="25" s="1"/>
  <c r="I15" i="25"/>
  <c r="J15" i="25" s="1"/>
  <c r="O15" i="25" s="1"/>
  <c r="I14" i="25"/>
  <c r="J14" i="25" s="1"/>
  <c r="O14" i="25" s="1"/>
  <c r="I13" i="25"/>
  <c r="J13" i="25" s="1"/>
  <c r="O13" i="25" s="1"/>
  <c r="I12" i="25"/>
  <c r="J12" i="25" s="1"/>
  <c r="O12" i="25" s="1"/>
  <c r="I11" i="25"/>
  <c r="J11" i="25" s="1"/>
  <c r="O11" i="25" s="1"/>
  <c r="I10" i="25"/>
  <c r="J10" i="25" s="1"/>
  <c r="O10" i="25" s="1"/>
  <c r="I9" i="25"/>
  <c r="J9" i="25" s="1"/>
  <c r="O9" i="25" s="1"/>
  <c r="I8" i="25"/>
  <c r="J8" i="25" s="1"/>
  <c r="O8" i="25" s="1"/>
  <c r="T61" i="24"/>
  <c r="S61" i="24"/>
  <c r="N61" i="24"/>
  <c r="M61" i="24"/>
  <c r="L61" i="24"/>
  <c r="H61" i="24"/>
  <c r="D61" i="24"/>
  <c r="C61" i="24"/>
  <c r="B61" i="24"/>
  <c r="A61" i="24"/>
  <c r="T60" i="24"/>
  <c r="S60" i="24"/>
  <c r="N60" i="24"/>
  <c r="M60" i="24"/>
  <c r="L60" i="24"/>
  <c r="H60" i="24"/>
  <c r="D60" i="24"/>
  <c r="C60" i="24"/>
  <c r="B60" i="24"/>
  <c r="A60" i="24"/>
  <c r="T59" i="24"/>
  <c r="S59" i="24"/>
  <c r="N59" i="24"/>
  <c r="M59" i="24"/>
  <c r="L59" i="24"/>
  <c r="H59" i="24"/>
  <c r="D59" i="24"/>
  <c r="C59" i="24"/>
  <c r="B59" i="24"/>
  <c r="A59" i="24"/>
  <c r="T58" i="24"/>
  <c r="S58" i="24"/>
  <c r="N58" i="24"/>
  <c r="M58" i="24"/>
  <c r="L58" i="24"/>
  <c r="H58" i="24"/>
  <c r="D58" i="24"/>
  <c r="C58" i="24"/>
  <c r="B58" i="24"/>
  <c r="A58" i="24"/>
  <c r="T57" i="24"/>
  <c r="S57" i="24"/>
  <c r="N57" i="24"/>
  <c r="M57" i="24"/>
  <c r="L57" i="24"/>
  <c r="H57" i="24"/>
  <c r="G57" i="24"/>
  <c r="D57" i="24"/>
  <c r="C57" i="24"/>
  <c r="B57" i="24"/>
  <c r="A57" i="24"/>
  <c r="T56" i="24"/>
  <c r="S56" i="24"/>
  <c r="N56" i="24"/>
  <c r="M56" i="24"/>
  <c r="L56" i="24"/>
  <c r="H56" i="24"/>
  <c r="G56" i="24"/>
  <c r="D56" i="24"/>
  <c r="C56" i="24"/>
  <c r="B56" i="24"/>
  <c r="A56" i="24"/>
  <c r="T55" i="24"/>
  <c r="S55" i="24"/>
  <c r="N55" i="24"/>
  <c r="M55" i="24"/>
  <c r="L55" i="24"/>
  <c r="H55" i="24"/>
  <c r="D55" i="24"/>
  <c r="C55" i="24"/>
  <c r="B55" i="24"/>
  <c r="A55" i="24"/>
  <c r="T54" i="24"/>
  <c r="S54" i="24"/>
  <c r="N54" i="24"/>
  <c r="M54" i="24"/>
  <c r="L54" i="24"/>
  <c r="H54" i="24"/>
  <c r="D54" i="24"/>
  <c r="C54" i="24"/>
  <c r="B54" i="24"/>
  <c r="A54" i="24"/>
  <c r="T53" i="24"/>
  <c r="S53" i="24"/>
  <c r="N53" i="24"/>
  <c r="M53" i="24"/>
  <c r="L53" i="24"/>
  <c r="H53" i="24"/>
  <c r="G53" i="24"/>
  <c r="E53" i="24"/>
  <c r="D53" i="24"/>
  <c r="C53" i="24"/>
  <c r="B53" i="24"/>
  <c r="A53" i="24"/>
  <c r="T52" i="24"/>
  <c r="S52" i="24"/>
  <c r="N52" i="24"/>
  <c r="M52" i="24"/>
  <c r="L52" i="24"/>
  <c r="H52" i="24"/>
  <c r="D52" i="24"/>
  <c r="C52" i="24"/>
  <c r="B52" i="24"/>
  <c r="A52" i="24"/>
  <c r="T51" i="24"/>
  <c r="S51" i="24"/>
  <c r="N51" i="24"/>
  <c r="M51" i="24"/>
  <c r="L51" i="24"/>
  <c r="H51" i="24"/>
  <c r="D51" i="24"/>
  <c r="C51" i="24"/>
  <c r="B51" i="24"/>
  <c r="A51" i="24"/>
  <c r="T50" i="24"/>
  <c r="S50" i="24"/>
  <c r="N50" i="24"/>
  <c r="M50" i="24"/>
  <c r="L50" i="24"/>
  <c r="H50" i="24"/>
  <c r="D50" i="24"/>
  <c r="C50" i="24"/>
  <c r="B50" i="24"/>
  <c r="A50" i="24"/>
  <c r="T49" i="24"/>
  <c r="S49" i="24"/>
  <c r="N49" i="24"/>
  <c r="M49" i="24"/>
  <c r="L49" i="24"/>
  <c r="H49" i="24"/>
  <c r="D49" i="24"/>
  <c r="C49" i="24"/>
  <c r="B49" i="24"/>
  <c r="A49" i="24"/>
  <c r="N40" i="24"/>
  <c r="M40" i="24"/>
  <c r="L40" i="24"/>
  <c r="G40" i="24"/>
  <c r="F40" i="24"/>
  <c r="D40" i="24"/>
  <c r="C40" i="24"/>
  <c r="B40" i="24"/>
  <c r="A40" i="24"/>
  <c r="N39" i="24"/>
  <c r="M39" i="24"/>
  <c r="L39" i="24"/>
  <c r="G39" i="24"/>
  <c r="F39" i="24"/>
  <c r="D39" i="24"/>
  <c r="C39" i="24"/>
  <c r="B39" i="24"/>
  <c r="A39" i="24"/>
  <c r="N38" i="24"/>
  <c r="M38" i="24"/>
  <c r="L38" i="24"/>
  <c r="G38" i="24"/>
  <c r="F38" i="24"/>
  <c r="D38" i="24"/>
  <c r="C38" i="24"/>
  <c r="B38" i="24"/>
  <c r="A38" i="24"/>
  <c r="N37" i="24"/>
  <c r="M37" i="24"/>
  <c r="L37" i="24"/>
  <c r="G37" i="24"/>
  <c r="F37" i="24"/>
  <c r="D37" i="24"/>
  <c r="C37" i="24"/>
  <c r="B37" i="24"/>
  <c r="A37" i="24"/>
  <c r="N36" i="24"/>
  <c r="M36" i="24"/>
  <c r="L36" i="24"/>
  <c r="G36" i="24"/>
  <c r="F36" i="24"/>
  <c r="D36" i="24"/>
  <c r="C36" i="24"/>
  <c r="B36" i="24"/>
  <c r="A36" i="24"/>
  <c r="T35" i="24"/>
  <c r="S35" i="24"/>
  <c r="N35" i="24"/>
  <c r="M35" i="24"/>
  <c r="L35" i="24"/>
  <c r="G35" i="24"/>
  <c r="D35" i="24"/>
  <c r="C35" i="24"/>
  <c r="B35" i="24"/>
  <c r="A35" i="24"/>
  <c r="T34" i="24"/>
  <c r="S34" i="24"/>
  <c r="N34" i="24"/>
  <c r="M34" i="24"/>
  <c r="L34" i="24"/>
  <c r="G34" i="24"/>
  <c r="F34" i="24"/>
  <c r="E34" i="24"/>
  <c r="D34" i="24"/>
  <c r="C34" i="24"/>
  <c r="B34" i="24"/>
  <c r="A34" i="24"/>
  <c r="T33" i="24"/>
  <c r="S33" i="24"/>
  <c r="N33" i="24"/>
  <c r="M33" i="24"/>
  <c r="L33" i="24"/>
  <c r="G33" i="24"/>
  <c r="F33" i="24"/>
  <c r="E33" i="24"/>
  <c r="D33" i="24"/>
  <c r="C33" i="24"/>
  <c r="B33" i="24"/>
  <c r="A33" i="24"/>
  <c r="T32" i="24"/>
  <c r="S32" i="24"/>
  <c r="N32" i="24"/>
  <c r="M32" i="24"/>
  <c r="L32" i="24"/>
  <c r="G32" i="24"/>
  <c r="F32" i="24"/>
  <c r="D32" i="24"/>
  <c r="C32" i="24"/>
  <c r="B32" i="24"/>
  <c r="A32" i="24"/>
  <c r="T31" i="24"/>
  <c r="S31" i="24"/>
  <c r="N31" i="24"/>
  <c r="M31" i="24"/>
  <c r="L31" i="24"/>
  <c r="G31" i="24"/>
  <c r="F31" i="24"/>
  <c r="D31" i="24"/>
  <c r="C31" i="24"/>
  <c r="B31" i="24"/>
  <c r="A31" i="24"/>
  <c r="T30" i="24"/>
  <c r="S30" i="24"/>
  <c r="N30" i="24"/>
  <c r="M30" i="24"/>
  <c r="L30" i="24"/>
  <c r="H30" i="24"/>
  <c r="G30" i="24"/>
  <c r="F30" i="24"/>
  <c r="D30" i="24"/>
  <c r="C30" i="24"/>
  <c r="B30" i="24"/>
  <c r="A30" i="24"/>
  <c r="T29" i="24"/>
  <c r="S29" i="24"/>
  <c r="N29" i="24"/>
  <c r="M29" i="24"/>
  <c r="L29" i="24"/>
  <c r="G29" i="24"/>
  <c r="F29" i="24"/>
  <c r="D29" i="24"/>
  <c r="C29" i="24"/>
  <c r="B29" i="24"/>
  <c r="A29" i="24"/>
  <c r="T20" i="24"/>
  <c r="S20" i="24"/>
  <c r="N20" i="24"/>
  <c r="M20" i="24"/>
  <c r="L20" i="24"/>
  <c r="H20" i="24"/>
  <c r="D20" i="24"/>
  <c r="C20" i="24"/>
  <c r="B20" i="24"/>
  <c r="A20" i="24"/>
  <c r="T19" i="24"/>
  <c r="S19" i="24"/>
  <c r="N19" i="24"/>
  <c r="M19" i="24"/>
  <c r="L19" i="24"/>
  <c r="H19" i="24"/>
  <c r="D19" i="24"/>
  <c r="C19" i="24"/>
  <c r="B19" i="24"/>
  <c r="A19" i="24"/>
  <c r="T18" i="24"/>
  <c r="S18" i="24"/>
  <c r="N18" i="24"/>
  <c r="M18" i="24"/>
  <c r="L18" i="24"/>
  <c r="H18" i="24"/>
  <c r="D18" i="24"/>
  <c r="C18" i="24"/>
  <c r="B18" i="24"/>
  <c r="A18" i="24"/>
  <c r="T17" i="24"/>
  <c r="S17" i="24"/>
  <c r="N17" i="24"/>
  <c r="M17" i="24"/>
  <c r="L17" i="24"/>
  <c r="H17" i="24"/>
  <c r="D17" i="24"/>
  <c r="C17" i="24"/>
  <c r="B17" i="24"/>
  <c r="A17" i="24"/>
  <c r="T16" i="24"/>
  <c r="S16" i="24"/>
  <c r="N16" i="24"/>
  <c r="M16" i="24"/>
  <c r="L16" i="24"/>
  <c r="H16" i="24"/>
  <c r="D16" i="24"/>
  <c r="C16" i="24"/>
  <c r="B16" i="24"/>
  <c r="A16" i="24"/>
  <c r="T15" i="24"/>
  <c r="S15" i="24"/>
  <c r="N15" i="24"/>
  <c r="M15" i="24"/>
  <c r="L15" i="24"/>
  <c r="H15" i="24"/>
  <c r="D15" i="24"/>
  <c r="C15" i="24"/>
  <c r="B15" i="24"/>
  <c r="A15" i="24"/>
  <c r="T14" i="24"/>
  <c r="S14" i="24"/>
  <c r="N14" i="24"/>
  <c r="M14" i="24"/>
  <c r="L14" i="24"/>
  <c r="D14" i="24"/>
  <c r="C14" i="24"/>
  <c r="B14" i="24"/>
  <c r="A14" i="24"/>
  <c r="T13" i="24"/>
  <c r="S13" i="24"/>
  <c r="N13" i="24"/>
  <c r="M13" i="24"/>
  <c r="L13" i="24"/>
  <c r="H13" i="24"/>
  <c r="E13" i="24"/>
  <c r="D13" i="24"/>
  <c r="C13" i="24"/>
  <c r="B13" i="24"/>
  <c r="A13" i="24"/>
  <c r="T12" i="24"/>
  <c r="S12" i="24"/>
  <c r="N12" i="24"/>
  <c r="M12" i="24"/>
  <c r="L12" i="24"/>
  <c r="H12" i="24"/>
  <c r="E12" i="24"/>
  <c r="D12" i="24"/>
  <c r="C12" i="24"/>
  <c r="B12" i="24"/>
  <c r="A12" i="24"/>
  <c r="T11" i="24"/>
  <c r="S11" i="24"/>
  <c r="N11" i="24"/>
  <c r="M11" i="24"/>
  <c r="L11" i="24"/>
  <c r="H11" i="24"/>
  <c r="D11" i="24"/>
  <c r="C11" i="24"/>
  <c r="B11" i="24"/>
  <c r="A11" i="24"/>
  <c r="T10" i="24"/>
  <c r="S10" i="24"/>
  <c r="N10" i="24"/>
  <c r="M10" i="24"/>
  <c r="L10" i="24"/>
  <c r="H10" i="24"/>
  <c r="D10" i="24"/>
  <c r="C10" i="24"/>
  <c r="B10" i="24"/>
  <c r="A10" i="24"/>
  <c r="T9" i="24"/>
  <c r="S9" i="24"/>
  <c r="N9" i="24"/>
  <c r="M9" i="24"/>
  <c r="L9" i="24"/>
  <c r="H9" i="24"/>
  <c r="D9" i="24"/>
  <c r="C9" i="24"/>
  <c r="B9" i="24"/>
  <c r="A9" i="24"/>
  <c r="T8" i="24"/>
  <c r="S8" i="24"/>
  <c r="N8" i="24"/>
  <c r="M8" i="24"/>
  <c r="L8" i="24"/>
  <c r="H8" i="24"/>
  <c r="D8" i="24"/>
  <c r="C8" i="24"/>
  <c r="B8" i="24"/>
  <c r="A8" i="24"/>
  <c r="I61" i="24"/>
  <c r="J61" i="24" s="1"/>
  <c r="O61" i="24" s="1"/>
  <c r="I60" i="24"/>
  <c r="J60" i="24" s="1"/>
  <c r="O60" i="24" s="1"/>
  <c r="I59" i="24"/>
  <c r="J59" i="24" s="1"/>
  <c r="O59" i="24" s="1"/>
  <c r="I58" i="24"/>
  <c r="J58" i="24" s="1"/>
  <c r="O58" i="24" s="1"/>
  <c r="I57" i="24"/>
  <c r="J57" i="24" s="1"/>
  <c r="O57" i="24" s="1"/>
  <c r="I56" i="24"/>
  <c r="J56" i="24" s="1"/>
  <c r="O56" i="24" s="1"/>
  <c r="I55" i="24"/>
  <c r="J55" i="24" s="1"/>
  <c r="O55" i="24" s="1"/>
  <c r="I54" i="24"/>
  <c r="J54" i="24" s="1"/>
  <c r="O54" i="24" s="1"/>
  <c r="I53" i="24"/>
  <c r="J53" i="24" s="1"/>
  <c r="O53" i="24" s="1"/>
  <c r="I52" i="24"/>
  <c r="J52" i="24" s="1"/>
  <c r="O52" i="24" s="1"/>
  <c r="I51" i="24"/>
  <c r="J51" i="24" s="1"/>
  <c r="O51" i="24" s="1"/>
  <c r="I50" i="24"/>
  <c r="J50" i="24" s="1"/>
  <c r="O50" i="24" s="1"/>
  <c r="I49" i="24"/>
  <c r="J49" i="24" s="1"/>
  <c r="O49" i="24" s="1"/>
  <c r="I40" i="24"/>
  <c r="J40" i="24" s="1"/>
  <c r="O40" i="24" s="1"/>
  <c r="I39" i="24"/>
  <c r="J39" i="24" s="1"/>
  <c r="O39" i="24" s="1"/>
  <c r="I38" i="24"/>
  <c r="J38" i="24" s="1"/>
  <c r="O38" i="24" s="1"/>
  <c r="I37" i="24"/>
  <c r="J37" i="24" s="1"/>
  <c r="O37" i="24" s="1"/>
  <c r="I36" i="24"/>
  <c r="J36" i="24" s="1"/>
  <c r="O36" i="24" s="1"/>
  <c r="I35" i="24"/>
  <c r="J35" i="24" s="1"/>
  <c r="O35" i="24" s="1"/>
  <c r="I34" i="24"/>
  <c r="J34" i="24" s="1"/>
  <c r="O34" i="24" s="1"/>
  <c r="I33" i="24"/>
  <c r="J33" i="24" s="1"/>
  <c r="O33" i="24" s="1"/>
  <c r="I32" i="24"/>
  <c r="J32" i="24" s="1"/>
  <c r="O32" i="24" s="1"/>
  <c r="I31" i="24"/>
  <c r="J31" i="24" s="1"/>
  <c r="O31" i="24" s="1"/>
  <c r="I30" i="24"/>
  <c r="J30" i="24" s="1"/>
  <c r="O30" i="24" s="1"/>
  <c r="I29" i="24"/>
  <c r="J29" i="24" s="1"/>
  <c r="O29" i="24" s="1"/>
  <c r="I20" i="24"/>
  <c r="J20" i="24" s="1"/>
  <c r="O20" i="24" s="1"/>
  <c r="I19" i="24"/>
  <c r="J19" i="24" s="1"/>
  <c r="O19" i="24" s="1"/>
  <c r="I18" i="24"/>
  <c r="J18" i="24" s="1"/>
  <c r="O18" i="24" s="1"/>
  <c r="I17" i="24"/>
  <c r="J17" i="24" s="1"/>
  <c r="O17" i="24" s="1"/>
  <c r="I16" i="24"/>
  <c r="J16" i="24" s="1"/>
  <c r="O16" i="24" s="1"/>
  <c r="I15" i="24"/>
  <c r="J15" i="24" s="1"/>
  <c r="O15" i="24" s="1"/>
  <c r="I14" i="24"/>
  <c r="J14" i="24" s="1"/>
  <c r="O14" i="24" s="1"/>
  <c r="I13" i="24"/>
  <c r="J13" i="24" s="1"/>
  <c r="O13" i="24" s="1"/>
  <c r="I12" i="24"/>
  <c r="J12" i="24" s="1"/>
  <c r="O12" i="24" s="1"/>
  <c r="I11" i="24"/>
  <c r="J11" i="24" s="1"/>
  <c r="O11" i="24" s="1"/>
  <c r="I10" i="24"/>
  <c r="J10" i="24" s="1"/>
  <c r="O10" i="24" s="1"/>
  <c r="I9" i="24"/>
  <c r="J9" i="24" s="1"/>
  <c r="O9" i="24" s="1"/>
  <c r="I8" i="24"/>
  <c r="J8" i="24" s="1"/>
  <c r="O8" i="24" s="1"/>
  <c r="T67" i="23"/>
  <c r="S67" i="23"/>
  <c r="N67" i="23"/>
  <c r="M67" i="23"/>
  <c r="L67" i="23"/>
  <c r="H67" i="23"/>
  <c r="D67" i="23"/>
  <c r="C67" i="23"/>
  <c r="B67" i="23"/>
  <c r="A67" i="23"/>
  <c r="T66" i="23"/>
  <c r="S66" i="23"/>
  <c r="N66" i="23"/>
  <c r="M66" i="23"/>
  <c r="L66" i="23"/>
  <c r="H66" i="23"/>
  <c r="D66" i="23"/>
  <c r="C66" i="23"/>
  <c r="B66" i="23"/>
  <c r="A66" i="23"/>
  <c r="T65" i="23"/>
  <c r="S65" i="23"/>
  <c r="N65" i="23"/>
  <c r="M65" i="23"/>
  <c r="L65" i="23"/>
  <c r="H65" i="23"/>
  <c r="D65" i="23"/>
  <c r="C65" i="23"/>
  <c r="B65" i="23"/>
  <c r="A65" i="23"/>
  <c r="T64" i="23"/>
  <c r="S64" i="23"/>
  <c r="N64" i="23"/>
  <c r="M64" i="23"/>
  <c r="L64" i="23"/>
  <c r="H64" i="23"/>
  <c r="D64" i="23"/>
  <c r="C64" i="23"/>
  <c r="B64" i="23"/>
  <c r="A64" i="23"/>
  <c r="T63" i="23"/>
  <c r="S63" i="23"/>
  <c r="N63" i="23"/>
  <c r="M63" i="23"/>
  <c r="L63" i="23"/>
  <c r="H63" i="23"/>
  <c r="D63" i="23"/>
  <c r="C63" i="23"/>
  <c r="B63" i="23"/>
  <c r="A63" i="23"/>
  <c r="T62" i="23"/>
  <c r="S62" i="23"/>
  <c r="N62" i="23"/>
  <c r="M62" i="23"/>
  <c r="L62" i="23"/>
  <c r="H62" i="23"/>
  <c r="D62" i="23"/>
  <c r="C62" i="23"/>
  <c r="B62" i="23"/>
  <c r="A62" i="23"/>
  <c r="T61" i="23"/>
  <c r="S61" i="23"/>
  <c r="N61" i="23"/>
  <c r="M61" i="23"/>
  <c r="L61" i="23"/>
  <c r="H61" i="23"/>
  <c r="G61" i="23"/>
  <c r="D61" i="23"/>
  <c r="C61" i="23"/>
  <c r="B61" i="23"/>
  <c r="A61" i="23"/>
  <c r="T60" i="23"/>
  <c r="S60" i="23"/>
  <c r="N60" i="23"/>
  <c r="M60" i="23"/>
  <c r="L60" i="23"/>
  <c r="H60" i="23"/>
  <c r="G60" i="23"/>
  <c r="D60" i="23"/>
  <c r="C60" i="23"/>
  <c r="B60" i="23"/>
  <c r="A60" i="23"/>
  <c r="T59" i="23"/>
  <c r="S59" i="23"/>
  <c r="N59" i="23"/>
  <c r="M59" i="23"/>
  <c r="L59" i="23"/>
  <c r="H59" i="23"/>
  <c r="D59" i="23"/>
  <c r="C59" i="23"/>
  <c r="B59" i="23"/>
  <c r="A59" i="23"/>
  <c r="T58" i="23"/>
  <c r="S58" i="23"/>
  <c r="N58" i="23"/>
  <c r="M58" i="23"/>
  <c r="L58" i="23"/>
  <c r="H58" i="23"/>
  <c r="D58" i="23"/>
  <c r="C58" i="23"/>
  <c r="B58" i="23"/>
  <c r="A58" i="23"/>
  <c r="T57" i="23"/>
  <c r="S57" i="23"/>
  <c r="N57" i="23"/>
  <c r="M57" i="23"/>
  <c r="L57" i="23"/>
  <c r="H57" i="23"/>
  <c r="G57" i="23"/>
  <c r="E57" i="23"/>
  <c r="D57" i="23"/>
  <c r="C57" i="23"/>
  <c r="B57" i="23"/>
  <c r="A57" i="23"/>
  <c r="T56" i="23"/>
  <c r="S56" i="23"/>
  <c r="N56" i="23"/>
  <c r="M56" i="23"/>
  <c r="L56" i="23"/>
  <c r="H56" i="23"/>
  <c r="D56" i="23"/>
  <c r="C56" i="23"/>
  <c r="B56" i="23"/>
  <c r="A56" i="23"/>
  <c r="T55" i="23"/>
  <c r="S55" i="23"/>
  <c r="N55" i="23"/>
  <c r="M55" i="23"/>
  <c r="L55" i="23"/>
  <c r="H55" i="23"/>
  <c r="D55" i="23"/>
  <c r="C55" i="23"/>
  <c r="B55" i="23"/>
  <c r="A55" i="23"/>
  <c r="T54" i="23"/>
  <c r="S54" i="23"/>
  <c r="N54" i="23"/>
  <c r="M54" i="23"/>
  <c r="L54" i="23"/>
  <c r="H54" i="23"/>
  <c r="D54" i="23"/>
  <c r="C54" i="23"/>
  <c r="B54" i="23"/>
  <c r="A54" i="23"/>
  <c r="T53" i="23"/>
  <c r="S53" i="23"/>
  <c r="N53" i="23"/>
  <c r="M53" i="23"/>
  <c r="L53" i="23"/>
  <c r="H53" i="23"/>
  <c r="D53" i="23"/>
  <c r="C53" i="23"/>
  <c r="B53" i="23"/>
  <c r="A53" i="23"/>
  <c r="N44" i="23"/>
  <c r="M44" i="23"/>
  <c r="L44" i="23"/>
  <c r="G44" i="23"/>
  <c r="F44" i="23"/>
  <c r="D44" i="23"/>
  <c r="C44" i="23"/>
  <c r="B44" i="23"/>
  <c r="A44" i="23"/>
  <c r="N43" i="23"/>
  <c r="M43" i="23"/>
  <c r="L43" i="23"/>
  <c r="G43" i="23"/>
  <c r="F43" i="23"/>
  <c r="D43" i="23"/>
  <c r="C43" i="23"/>
  <c r="B43" i="23"/>
  <c r="A43" i="23"/>
  <c r="N42" i="23"/>
  <c r="M42" i="23"/>
  <c r="L42" i="23"/>
  <c r="G42" i="23"/>
  <c r="F42" i="23"/>
  <c r="D42" i="23"/>
  <c r="C42" i="23"/>
  <c r="B42" i="23"/>
  <c r="A42" i="23"/>
  <c r="N41" i="23"/>
  <c r="M41" i="23"/>
  <c r="L41" i="23"/>
  <c r="G41" i="23"/>
  <c r="F41" i="23"/>
  <c r="D41" i="23"/>
  <c r="C41" i="23"/>
  <c r="B41" i="23"/>
  <c r="A41" i="23"/>
  <c r="N40" i="23"/>
  <c r="M40" i="23"/>
  <c r="L40" i="23"/>
  <c r="G40" i="23"/>
  <c r="F40" i="23"/>
  <c r="D40" i="23"/>
  <c r="C40" i="23"/>
  <c r="B40" i="23"/>
  <c r="A40" i="23"/>
  <c r="N39" i="23"/>
  <c r="M39" i="23"/>
  <c r="L39" i="23"/>
  <c r="G39" i="23"/>
  <c r="F39" i="23"/>
  <c r="D39" i="23"/>
  <c r="C39" i="23"/>
  <c r="B39" i="23"/>
  <c r="A39" i="23"/>
  <c r="N38" i="23"/>
  <c r="M38" i="23"/>
  <c r="L38" i="23"/>
  <c r="G38" i="23"/>
  <c r="F38" i="23"/>
  <c r="D38" i="23"/>
  <c r="C38" i="23"/>
  <c r="B38" i="23"/>
  <c r="A38" i="23"/>
  <c r="T37" i="23"/>
  <c r="S37" i="23"/>
  <c r="N37" i="23"/>
  <c r="M37" i="23"/>
  <c r="L37" i="23"/>
  <c r="G37" i="23"/>
  <c r="D37" i="23"/>
  <c r="C37" i="23"/>
  <c r="B37" i="23"/>
  <c r="A37" i="23"/>
  <c r="T36" i="23"/>
  <c r="S36" i="23"/>
  <c r="N36" i="23"/>
  <c r="M36" i="23"/>
  <c r="L36" i="23"/>
  <c r="G36" i="23"/>
  <c r="F36" i="23"/>
  <c r="D36" i="23"/>
  <c r="C36" i="23"/>
  <c r="B36" i="23"/>
  <c r="A36" i="23"/>
  <c r="T35" i="23"/>
  <c r="S35" i="23"/>
  <c r="N35" i="23"/>
  <c r="M35" i="23"/>
  <c r="L35" i="23"/>
  <c r="G35" i="23"/>
  <c r="F35" i="23"/>
  <c r="E35" i="23"/>
  <c r="D35" i="23"/>
  <c r="C35" i="23"/>
  <c r="B35" i="23"/>
  <c r="A35" i="23"/>
  <c r="T34" i="23"/>
  <c r="S34" i="23"/>
  <c r="N34" i="23"/>
  <c r="M34" i="23"/>
  <c r="L34" i="23"/>
  <c r="G34" i="23"/>
  <c r="F34" i="23"/>
  <c r="D34" i="23"/>
  <c r="C34" i="23"/>
  <c r="B34" i="23"/>
  <c r="A34" i="23"/>
  <c r="T33" i="23"/>
  <c r="S33" i="23"/>
  <c r="N33" i="23"/>
  <c r="M33" i="23"/>
  <c r="L33" i="23"/>
  <c r="G33" i="23"/>
  <c r="F33" i="23"/>
  <c r="D33" i="23"/>
  <c r="C33" i="23"/>
  <c r="B33" i="23"/>
  <c r="A33" i="23"/>
  <c r="T32" i="23"/>
  <c r="S32" i="23"/>
  <c r="N32" i="23"/>
  <c r="M32" i="23"/>
  <c r="L32" i="23"/>
  <c r="H32" i="23"/>
  <c r="G32" i="23"/>
  <c r="F32" i="23"/>
  <c r="D32" i="23"/>
  <c r="C32" i="23"/>
  <c r="B32" i="23"/>
  <c r="A32" i="23"/>
  <c r="T31" i="23"/>
  <c r="S31" i="23"/>
  <c r="N31" i="23"/>
  <c r="M31" i="23"/>
  <c r="L31" i="23"/>
  <c r="G31" i="23"/>
  <c r="F31" i="23"/>
  <c r="D31" i="23"/>
  <c r="C31" i="23"/>
  <c r="B31" i="23"/>
  <c r="A31" i="23"/>
  <c r="T22" i="23"/>
  <c r="S22" i="23"/>
  <c r="N22" i="23"/>
  <c r="M22" i="23"/>
  <c r="L22" i="23"/>
  <c r="H22" i="23"/>
  <c r="D22" i="23"/>
  <c r="C22" i="23"/>
  <c r="B22" i="23"/>
  <c r="A22" i="23"/>
  <c r="T21" i="23"/>
  <c r="S21" i="23"/>
  <c r="N21" i="23"/>
  <c r="M21" i="23"/>
  <c r="L21" i="23"/>
  <c r="H21" i="23"/>
  <c r="D21" i="23"/>
  <c r="C21" i="23"/>
  <c r="B21" i="23"/>
  <c r="A21" i="23"/>
  <c r="T20" i="23"/>
  <c r="S20" i="23"/>
  <c r="N20" i="23"/>
  <c r="M20" i="23"/>
  <c r="L20" i="23"/>
  <c r="H20" i="23"/>
  <c r="D20" i="23"/>
  <c r="C20" i="23"/>
  <c r="B20" i="23"/>
  <c r="A20" i="23"/>
  <c r="T19" i="23"/>
  <c r="S19" i="23"/>
  <c r="N19" i="23"/>
  <c r="M19" i="23"/>
  <c r="L19" i="23"/>
  <c r="H19" i="23"/>
  <c r="D19" i="23"/>
  <c r="C19" i="23"/>
  <c r="B19" i="23"/>
  <c r="A19" i="23"/>
  <c r="T18" i="23"/>
  <c r="S18" i="23"/>
  <c r="N18" i="23"/>
  <c r="M18" i="23"/>
  <c r="L18" i="23"/>
  <c r="H18" i="23"/>
  <c r="D18" i="23"/>
  <c r="C18" i="23"/>
  <c r="B18" i="23"/>
  <c r="A18" i="23"/>
  <c r="T17" i="23"/>
  <c r="S17" i="23"/>
  <c r="N17" i="23"/>
  <c r="M17" i="23"/>
  <c r="L17" i="23"/>
  <c r="H17" i="23"/>
  <c r="D17" i="23"/>
  <c r="C17" i="23"/>
  <c r="B17" i="23"/>
  <c r="A17" i="23"/>
  <c r="T16" i="23"/>
  <c r="S16" i="23"/>
  <c r="N16" i="23"/>
  <c r="M16" i="23"/>
  <c r="L16" i="23"/>
  <c r="H16" i="23"/>
  <c r="D16" i="23"/>
  <c r="C16" i="23"/>
  <c r="B16" i="23"/>
  <c r="A16" i="23"/>
  <c r="T15" i="23"/>
  <c r="S15" i="23"/>
  <c r="N15" i="23"/>
  <c r="M15" i="23"/>
  <c r="L15" i="23"/>
  <c r="H15" i="23"/>
  <c r="D15" i="23"/>
  <c r="C15" i="23"/>
  <c r="B15" i="23"/>
  <c r="A15" i="23"/>
  <c r="T14" i="23"/>
  <c r="S14" i="23"/>
  <c r="N14" i="23"/>
  <c r="M14" i="23"/>
  <c r="L14" i="23"/>
  <c r="D14" i="23"/>
  <c r="C14" i="23"/>
  <c r="B14" i="23"/>
  <c r="A14" i="23"/>
  <c r="T13" i="23"/>
  <c r="S13" i="23"/>
  <c r="N13" i="23"/>
  <c r="M13" i="23"/>
  <c r="L13" i="23"/>
  <c r="H13" i="23"/>
  <c r="D13" i="23"/>
  <c r="C13" i="23"/>
  <c r="B13" i="23"/>
  <c r="A13" i="23"/>
  <c r="T12" i="23"/>
  <c r="S12" i="23"/>
  <c r="N12" i="23"/>
  <c r="M12" i="23"/>
  <c r="L12" i="23"/>
  <c r="H12" i="23"/>
  <c r="E12" i="23"/>
  <c r="D12" i="23"/>
  <c r="C12" i="23"/>
  <c r="B12" i="23"/>
  <c r="A12" i="23"/>
  <c r="T11" i="23"/>
  <c r="S11" i="23"/>
  <c r="N11" i="23"/>
  <c r="M11" i="23"/>
  <c r="L11" i="23"/>
  <c r="H11" i="23"/>
  <c r="D11" i="23"/>
  <c r="C11" i="23"/>
  <c r="B11" i="23"/>
  <c r="A11" i="23"/>
  <c r="T10" i="23"/>
  <c r="S10" i="23"/>
  <c r="N10" i="23"/>
  <c r="M10" i="23"/>
  <c r="L10" i="23"/>
  <c r="H10" i="23"/>
  <c r="D10" i="23"/>
  <c r="C10" i="23"/>
  <c r="B10" i="23"/>
  <c r="A10" i="23"/>
  <c r="T9" i="23"/>
  <c r="S9" i="23"/>
  <c r="N9" i="23"/>
  <c r="M9" i="23"/>
  <c r="L9" i="23"/>
  <c r="H9" i="23"/>
  <c r="D9" i="23"/>
  <c r="C9" i="23"/>
  <c r="B9" i="23"/>
  <c r="A9" i="23"/>
  <c r="T8" i="23"/>
  <c r="S8" i="23"/>
  <c r="N8" i="23"/>
  <c r="M8" i="23"/>
  <c r="L8" i="23"/>
  <c r="H8" i="23"/>
  <c r="D8" i="23"/>
  <c r="C8" i="23"/>
  <c r="B8" i="23"/>
  <c r="A8" i="23"/>
  <c r="I67" i="23"/>
  <c r="J67" i="23" s="1"/>
  <c r="O67" i="23" s="1"/>
  <c r="I66" i="23"/>
  <c r="J66" i="23" s="1"/>
  <c r="O66" i="23" s="1"/>
  <c r="I65" i="23"/>
  <c r="J65" i="23" s="1"/>
  <c r="O65" i="23" s="1"/>
  <c r="I64" i="23"/>
  <c r="J64" i="23" s="1"/>
  <c r="O64" i="23" s="1"/>
  <c r="I63" i="23"/>
  <c r="J63" i="23" s="1"/>
  <c r="O63" i="23" s="1"/>
  <c r="I62" i="23"/>
  <c r="J62" i="23" s="1"/>
  <c r="O62" i="23" s="1"/>
  <c r="I61" i="23"/>
  <c r="J61" i="23" s="1"/>
  <c r="O61" i="23" s="1"/>
  <c r="I60" i="23"/>
  <c r="J60" i="23" s="1"/>
  <c r="O60" i="23" s="1"/>
  <c r="I59" i="23"/>
  <c r="J59" i="23" s="1"/>
  <c r="O59" i="23" s="1"/>
  <c r="I58" i="23"/>
  <c r="J58" i="23" s="1"/>
  <c r="O58" i="23" s="1"/>
  <c r="I57" i="23"/>
  <c r="J57" i="23" s="1"/>
  <c r="O57" i="23" s="1"/>
  <c r="I56" i="23"/>
  <c r="J56" i="23" s="1"/>
  <c r="O56" i="23" s="1"/>
  <c r="I55" i="23"/>
  <c r="J55" i="23" s="1"/>
  <c r="O55" i="23" s="1"/>
  <c r="I54" i="23"/>
  <c r="J54" i="23" s="1"/>
  <c r="O54" i="23" s="1"/>
  <c r="I53" i="23"/>
  <c r="J53" i="23" s="1"/>
  <c r="O53" i="23" s="1"/>
  <c r="I44" i="23"/>
  <c r="J44" i="23" s="1"/>
  <c r="O44" i="23" s="1"/>
  <c r="I43" i="23"/>
  <c r="J43" i="23" s="1"/>
  <c r="O43" i="23" s="1"/>
  <c r="I42" i="23"/>
  <c r="J42" i="23" s="1"/>
  <c r="O42" i="23" s="1"/>
  <c r="I41" i="23"/>
  <c r="J41" i="23" s="1"/>
  <c r="O41" i="23" s="1"/>
  <c r="I40" i="23"/>
  <c r="J40" i="23" s="1"/>
  <c r="O40" i="23" s="1"/>
  <c r="I39" i="23"/>
  <c r="J39" i="23" s="1"/>
  <c r="O39" i="23" s="1"/>
  <c r="I38" i="23"/>
  <c r="J38" i="23" s="1"/>
  <c r="O38" i="23" s="1"/>
  <c r="I37" i="23"/>
  <c r="J37" i="23" s="1"/>
  <c r="O37" i="23" s="1"/>
  <c r="I36" i="23"/>
  <c r="J36" i="23" s="1"/>
  <c r="O36" i="23" s="1"/>
  <c r="I35" i="23"/>
  <c r="J35" i="23" s="1"/>
  <c r="O35" i="23" s="1"/>
  <c r="I34" i="23"/>
  <c r="J34" i="23" s="1"/>
  <c r="O34" i="23" s="1"/>
  <c r="I33" i="23"/>
  <c r="J33" i="23" s="1"/>
  <c r="O33" i="23" s="1"/>
  <c r="I32" i="23"/>
  <c r="J32" i="23" s="1"/>
  <c r="O32" i="23" s="1"/>
  <c r="I31" i="23"/>
  <c r="J31" i="23" s="1"/>
  <c r="O31" i="23" s="1"/>
  <c r="I22" i="23"/>
  <c r="J22" i="23" s="1"/>
  <c r="O22" i="23" s="1"/>
  <c r="I21" i="23"/>
  <c r="J21" i="23" s="1"/>
  <c r="O21" i="23" s="1"/>
  <c r="I20" i="23"/>
  <c r="J20" i="23" s="1"/>
  <c r="O20" i="23" s="1"/>
  <c r="I19" i="23"/>
  <c r="J19" i="23" s="1"/>
  <c r="O19" i="23" s="1"/>
  <c r="I18" i="23"/>
  <c r="J18" i="23" s="1"/>
  <c r="O18" i="23" s="1"/>
  <c r="I17" i="23"/>
  <c r="J17" i="23" s="1"/>
  <c r="O17" i="23" s="1"/>
  <c r="I16" i="23"/>
  <c r="J16" i="23" s="1"/>
  <c r="O16" i="23" s="1"/>
  <c r="I15" i="23"/>
  <c r="J15" i="23" s="1"/>
  <c r="O15" i="23" s="1"/>
  <c r="I14" i="23"/>
  <c r="J14" i="23" s="1"/>
  <c r="O14" i="23" s="1"/>
  <c r="I13" i="23"/>
  <c r="J13" i="23" s="1"/>
  <c r="O13" i="23" s="1"/>
  <c r="I12" i="23"/>
  <c r="J12" i="23" s="1"/>
  <c r="O12" i="23" s="1"/>
  <c r="I11" i="23"/>
  <c r="J11" i="23" s="1"/>
  <c r="O11" i="23" s="1"/>
  <c r="I10" i="23"/>
  <c r="J10" i="23" s="1"/>
  <c r="O10" i="23" s="1"/>
  <c r="I9" i="23"/>
  <c r="J9" i="23" s="1"/>
  <c r="O9" i="23" s="1"/>
  <c r="I8" i="23"/>
  <c r="J8" i="23" s="1"/>
  <c r="O8" i="23" s="1"/>
  <c r="T70" i="22"/>
  <c r="S70" i="22"/>
  <c r="N70" i="22"/>
  <c r="M70" i="22"/>
  <c r="L70" i="22"/>
  <c r="K70" i="22"/>
  <c r="H70" i="22"/>
  <c r="D70" i="22"/>
  <c r="C70" i="22"/>
  <c r="B70" i="22"/>
  <c r="A70" i="22"/>
  <c r="T69" i="22"/>
  <c r="S69" i="22"/>
  <c r="N69" i="22"/>
  <c r="M69" i="22"/>
  <c r="L69" i="22"/>
  <c r="K69" i="22"/>
  <c r="H69" i="22"/>
  <c r="D69" i="22"/>
  <c r="C69" i="22"/>
  <c r="B69" i="22"/>
  <c r="A69" i="22"/>
  <c r="T68" i="22"/>
  <c r="S68" i="22"/>
  <c r="N68" i="22"/>
  <c r="M68" i="22"/>
  <c r="L68" i="22"/>
  <c r="K68" i="22"/>
  <c r="H68" i="22"/>
  <c r="D68" i="22"/>
  <c r="C68" i="22"/>
  <c r="B68" i="22"/>
  <c r="A68" i="22"/>
  <c r="T67" i="22"/>
  <c r="S67" i="22"/>
  <c r="N67" i="22"/>
  <c r="M67" i="22"/>
  <c r="L67" i="22"/>
  <c r="K67" i="22"/>
  <c r="H67" i="22"/>
  <c r="D67" i="22"/>
  <c r="C67" i="22"/>
  <c r="B67" i="22"/>
  <c r="A67" i="22"/>
  <c r="T66" i="22"/>
  <c r="S66" i="22"/>
  <c r="N66" i="22"/>
  <c r="M66" i="22"/>
  <c r="L66" i="22"/>
  <c r="K66" i="22"/>
  <c r="H66" i="22"/>
  <c r="D66" i="22"/>
  <c r="C66" i="22"/>
  <c r="B66" i="22"/>
  <c r="A66" i="22"/>
  <c r="T65" i="22"/>
  <c r="S65" i="22"/>
  <c r="N65" i="22"/>
  <c r="M65" i="22"/>
  <c r="L65" i="22"/>
  <c r="K65" i="22"/>
  <c r="H65" i="22"/>
  <c r="D65" i="22"/>
  <c r="C65" i="22"/>
  <c r="B65" i="22"/>
  <c r="A65" i="22"/>
  <c r="T64" i="22"/>
  <c r="S64" i="22"/>
  <c r="N64" i="22"/>
  <c r="M64" i="22"/>
  <c r="L64" i="22"/>
  <c r="K64" i="22"/>
  <c r="H64" i="22"/>
  <c r="D64" i="22"/>
  <c r="C64" i="22"/>
  <c r="B64" i="22"/>
  <c r="A64" i="22"/>
  <c r="T63" i="22"/>
  <c r="S63" i="22"/>
  <c r="N63" i="22"/>
  <c r="M63" i="22"/>
  <c r="L63" i="22"/>
  <c r="K63" i="22"/>
  <c r="H63" i="22"/>
  <c r="G63" i="22"/>
  <c r="D63" i="22"/>
  <c r="C63" i="22"/>
  <c r="B63" i="22"/>
  <c r="A63" i="22"/>
  <c r="T62" i="22"/>
  <c r="S62" i="22"/>
  <c r="N62" i="22"/>
  <c r="M62" i="22"/>
  <c r="L62" i="22"/>
  <c r="K62" i="22"/>
  <c r="H62" i="22"/>
  <c r="G62" i="22"/>
  <c r="D62" i="22"/>
  <c r="C62" i="22"/>
  <c r="B62" i="22"/>
  <c r="A62" i="22"/>
  <c r="T61" i="22"/>
  <c r="S61" i="22"/>
  <c r="N61" i="22"/>
  <c r="M61" i="22"/>
  <c r="L61" i="22"/>
  <c r="K61" i="22"/>
  <c r="H61" i="22"/>
  <c r="D61" i="22"/>
  <c r="C61" i="22"/>
  <c r="B61" i="22"/>
  <c r="A61" i="22"/>
  <c r="T60" i="22"/>
  <c r="S60" i="22"/>
  <c r="N60" i="22"/>
  <c r="M60" i="22"/>
  <c r="L60" i="22"/>
  <c r="K60" i="22"/>
  <c r="H60" i="22"/>
  <c r="D60" i="22"/>
  <c r="C60" i="22"/>
  <c r="B60" i="22"/>
  <c r="A60" i="22"/>
  <c r="T59" i="22"/>
  <c r="S59" i="22"/>
  <c r="N59" i="22"/>
  <c r="M59" i="22"/>
  <c r="L59" i="22"/>
  <c r="K59" i="22"/>
  <c r="H59" i="22"/>
  <c r="G59" i="22"/>
  <c r="E59" i="22"/>
  <c r="D59" i="22"/>
  <c r="C59" i="22"/>
  <c r="B59" i="22"/>
  <c r="A59" i="22"/>
  <c r="T58" i="22"/>
  <c r="S58" i="22"/>
  <c r="N58" i="22"/>
  <c r="M58" i="22"/>
  <c r="L58" i="22"/>
  <c r="K58" i="22"/>
  <c r="H58" i="22"/>
  <c r="D58" i="22"/>
  <c r="C58" i="22"/>
  <c r="B58" i="22"/>
  <c r="A58" i="22"/>
  <c r="T57" i="22"/>
  <c r="S57" i="22"/>
  <c r="N57" i="22"/>
  <c r="M57" i="22"/>
  <c r="L57" i="22"/>
  <c r="K57" i="22"/>
  <c r="H57" i="22"/>
  <c r="D57" i="22"/>
  <c r="C57" i="22"/>
  <c r="B57" i="22"/>
  <c r="A57" i="22"/>
  <c r="T56" i="22"/>
  <c r="S56" i="22"/>
  <c r="N56" i="22"/>
  <c r="M56" i="22"/>
  <c r="L56" i="22"/>
  <c r="K56" i="22"/>
  <c r="H56" i="22"/>
  <c r="D56" i="22"/>
  <c r="C56" i="22"/>
  <c r="B56" i="22"/>
  <c r="A56" i="22"/>
  <c r="T55" i="22"/>
  <c r="S55" i="22"/>
  <c r="N55" i="22"/>
  <c r="M55" i="22"/>
  <c r="L55" i="22"/>
  <c r="K55" i="22"/>
  <c r="H55" i="22"/>
  <c r="D55" i="22"/>
  <c r="C55" i="22"/>
  <c r="B55" i="22"/>
  <c r="A55" i="22"/>
  <c r="N46" i="22"/>
  <c r="M46" i="22"/>
  <c r="L46" i="22"/>
  <c r="K46" i="22"/>
  <c r="G46" i="22"/>
  <c r="F46" i="22"/>
  <c r="D46" i="22"/>
  <c r="C46" i="22"/>
  <c r="B46" i="22"/>
  <c r="A46" i="22"/>
  <c r="N45" i="22"/>
  <c r="M45" i="22"/>
  <c r="L45" i="22"/>
  <c r="K45" i="22"/>
  <c r="G45" i="22"/>
  <c r="F45" i="22"/>
  <c r="D45" i="22"/>
  <c r="C45" i="22"/>
  <c r="B45" i="22"/>
  <c r="A45" i="22"/>
  <c r="N44" i="22"/>
  <c r="M44" i="22"/>
  <c r="L44" i="22"/>
  <c r="K44" i="22"/>
  <c r="G44" i="22"/>
  <c r="F44" i="22"/>
  <c r="D44" i="22"/>
  <c r="C44" i="22"/>
  <c r="B44" i="22"/>
  <c r="A44" i="22"/>
  <c r="N43" i="22"/>
  <c r="M43" i="22"/>
  <c r="L43" i="22"/>
  <c r="K43" i="22"/>
  <c r="G43" i="22"/>
  <c r="F43" i="22"/>
  <c r="D43" i="22"/>
  <c r="C43" i="22"/>
  <c r="B43" i="22"/>
  <c r="A43" i="22"/>
  <c r="N42" i="22"/>
  <c r="M42" i="22"/>
  <c r="L42" i="22"/>
  <c r="K42" i="22"/>
  <c r="G42" i="22"/>
  <c r="F42" i="22"/>
  <c r="D42" i="22"/>
  <c r="C42" i="22"/>
  <c r="B42" i="22"/>
  <c r="A42" i="22"/>
  <c r="N41" i="22"/>
  <c r="M41" i="22"/>
  <c r="L41" i="22"/>
  <c r="K41" i="22"/>
  <c r="G41" i="22"/>
  <c r="F41" i="22"/>
  <c r="D41" i="22"/>
  <c r="C41" i="22"/>
  <c r="B41" i="22"/>
  <c r="A41" i="22"/>
  <c r="N40" i="22"/>
  <c r="M40" i="22"/>
  <c r="L40" i="22"/>
  <c r="K40" i="22"/>
  <c r="G40" i="22"/>
  <c r="F40" i="22"/>
  <c r="D40" i="22"/>
  <c r="C40" i="22"/>
  <c r="B40" i="22"/>
  <c r="A40" i="22"/>
  <c r="N39" i="22"/>
  <c r="M39" i="22"/>
  <c r="L39" i="22"/>
  <c r="K39" i="22"/>
  <c r="G39" i="22"/>
  <c r="F39" i="22"/>
  <c r="D39" i="22"/>
  <c r="C39" i="22"/>
  <c r="B39" i="22"/>
  <c r="A39" i="22"/>
  <c r="T38" i="22"/>
  <c r="S38" i="22"/>
  <c r="N38" i="22"/>
  <c r="M38" i="22"/>
  <c r="L38" i="22"/>
  <c r="K38" i="22"/>
  <c r="G38" i="22"/>
  <c r="D38" i="22"/>
  <c r="C38" i="22"/>
  <c r="B38" i="22"/>
  <c r="A38" i="22"/>
  <c r="T37" i="22"/>
  <c r="S37" i="22"/>
  <c r="N37" i="22"/>
  <c r="M37" i="22"/>
  <c r="L37" i="22"/>
  <c r="K37" i="22"/>
  <c r="G37" i="22"/>
  <c r="F37" i="22"/>
  <c r="D37" i="22"/>
  <c r="C37" i="22"/>
  <c r="B37" i="22"/>
  <c r="A37" i="22"/>
  <c r="T36" i="22"/>
  <c r="S36" i="22"/>
  <c r="N36" i="22"/>
  <c r="M36" i="22"/>
  <c r="L36" i="22"/>
  <c r="K36" i="22"/>
  <c r="G36" i="22"/>
  <c r="F36" i="22"/>
  <c r="E36" i="22"/>
  <c r="D36" i="22"/>
  <c r="C36" i="22"/>
  <c r="B36" i="22"/>
  <c r="A36" i="22"/>
  <c r="T35" i="22"/>
  <c r="S35" i="22"/>
  <c r="N35" i="22"/>
  <c r="M35" i="22"/>
  <c r="L35" i="22"/>
  <c r="K35" i="22"/>
  <c r="G35" i="22"/>
  <c r="F35" i="22"/>
  <c r="D35" i="22"/>
  <c r="C35" i="22"/>
  <c r="B35" i="22"/>
  <c r="A35" i="22"/>
  <c r="T34" i="22"/>
  <c r="S34" i="22"/>
  <c r="N34" i="22"/>
  <c r="M34" i="22"/>
  <c r="L34" i="22"/>
  <c r="K34" i="22"/>
  <c r="G34" i="22"/>
  <c r="F34" i="22"/>
  <c r="D34" i="22"/>
  <c r="C34" i="22"/>
  <c r="B34" i="22"/>
  <c r="A34" i="22"/>
  <c r="T33" i="22"/>
  <c r="S33" i="22"/>
  <c r="N33" i="22"/>
  <c r="M33" i="22"/>
  <c r="L33" i="22"/>
  <c r="K33" i="22"/>
  <c r="H33" i="22"/>
  <c r="G33" i="22"/>
  <c r="F33" i="22"/>
  <c r="D33" i="22"/>
  <c r="C33" i="22"/>
  <c r="B33" i="22"/>
  <c r="A33" i="22"/>
  <c r="T32" i="22"/>
  <c r="S32" i="22"/>
  <c r="N32" i="22"/>
  <c r="M32" i="22"/>
  <c r="L32" i="22"/>
  <c r="K32" i="22"/>
  <c r="G32" i="22"/>
  <c r="F32" i="22"/>
  <c r="D32" i="22"/>
  <c r="C32" i="22"/>
  <c r="B32" i="22"/>
  <c r="A32" i="22"/>
  <c r="T23" i="22"/>
  <c r="S23" i="22"/>
  <c r="N23" i="22"/>
  <c r="M23" i="22"/>
  <c r="L23" i="22"/>
  <c r="K23" i="22"/>
  <c r="H23" i="22"/>
  <c r="D23" i="22"/>
  <c r="C23" i="22"/>
  <c r="B23" i="22"/>
  <c r="A23" i="22"/>
  <c r="T22" i="22"/>
  <c r="S22" i="22"/>
  <c r="N22" i="22"/>
  <c r="M22" i="22"/>
  <c r="L22" i="22"/>
  <c r="K22" i="22"/>
  <c r="H22" i="22"/>
  <c r="D22" i="22"/>
  <c r="C22" i="22"/>
  <c r="B22" i="22"/>
  <c r="A22" i="22"/>
  <c r="T21" i="22"/>
  <c r="S21" i="22"/>
  <c r="N21" i="22"/>
  <c r="M21" i="22"/>
  <c r="L21" i="22"/>
  <c r="K21" i="22"/>
  <c r="H21" i="22"/>
  <c r="D21" i="22"/>
  <c r="C21" i="22"/>
  <c r="B21" i="22"/>
  <c r="A21" i="22"/>
  <c r="T20" i="22"/>
  <c r="S20" i="22"/>
  <c r="N20" i="22"/>
  <c r="M20" i="22"/>
  <c r="L20" i="22"/>
  <c r="K20" i="22"/>
  <c r="H20" i="22"/>
  <c r="D20" i="22"/>
  <c r="C20" i="22"/>
  <c r="B20" i="22"/>
  <c r="A20" i="22"/>
  <c r="T19" i="22"/>
  <c r="S19" i="22"/>
  <c r="N19" i="22"/>
  <c r="M19" i="22"/>
  <c r="L19" i="22"/>
  <c r="K19" i="22"/>
  <c r="H19" i="22"/>
  <c r="D19" i="22"/>
  <c r="C19" i="22"/>
  <c r="B19" i="22"/>
  <c r="A19" i="22"/>
  <c r="T18" i="22"/>
  <c r="S18" i="22"/>
  <c r="N18" i="22"/>
  <c r="M18" i="22"/>
  <c r="L18" i="22"/>
  <c r="K18" i="22"/>
  <c r="H18" i="22"/>
  <c r="D18" i="22"/>
  <c r="C18" i="22"/>
  <c r="B18" i="22"/>
  <c r="A18" i="22"/>
  <c r="T17" i="22"/>
  <c r="S17" i="22"/>
  <c r="N17" i="22"/>
  <c r="M17" i="22"/>
  <c r="L17" i="22"/>
  <c r="K17" i="22"/>
  <c r="H17" i="22"/>
  <c r="D17" i="22"/>
  <c r="C17" i="22"/>
  <c r="B17" i="22"/>
  <c r="A17" i="22"/>
  <c r="T16" i="22"/>
  <c r="S16" i="22"/>
  <c r="N16" i="22"/>
  <c r="M16" i="22"/>
  <c r="L16" i="22"/>
  <c r="K16" i="22"/>
  <c r="H16" i="22"/>
  <c r="D16" i="22"/>
  <c r="C16" i="22"/>
  <c r="B16" i="22"/>
  <c r="A16" i="22"/>
  <c r="T15" i="22"/>
  <c r="S15" i="22"/>
  <c r="N15" i="22"/>
  <c r="M15" i="22"/>
  <c r="L15" i="22"/>
  <c r="K15" i="22"/>
  <c r="H15" i="22"/>
  <c r="D15" i="22"/>
  <c r="C15" i="22"/>
  <c r="B15" i="22"/>
  <c r="A15" i="22"/>
  <c r="T14" i="22"/>
  <c r="S14" i="22"/>
  <c r="N14" i="22"/>
  <c r="M14" i="22"/>
  <c r="L14" i="22"/>
  <c r="K14" i="22"/>
  <c r="D14" i="22"/>
  <c r="C14" i="22"/>
  <c r="B14" i="22"/>
  <c r="A14" i="22"/>
  <c r="T13" i="22"/>
  <c r="S13" i="22"/>
  <c r="N13" i="22"/>
  <c r="M13" i="22"/>
  <c r="L13" i="22"/>
  <c r="K13" i="22"/>
  <c r="H13" i="22"/>
  <c r="D13" i="22"/>
  <c r="C13" i="22"/>
  <c r="B13" i="22"/>
  <c r="A13" i="22"/>
  <c r="T12" i="22"/>
  <c r="S12" i="22"/>
  <c r="N12" i="22"/>
  <c r="M12" i="22"/>
  <c r="L12" i="22"/>
  <c r="K12" i="22"/>
  <c r="H12" i="22"/>
  <c r="E12" i="22"/>
  <c r="D12" i="22"/>
  <c r="C12" i="22"/>
  <c r="B12" i="22"/>
  <c r="A12" i="22"/>
  <c r="T11" i="22"/>
  <c r="S11" i="22"/>
  <c r="N11" i="22"/>
  <c r="M11" i="22"/>
  <c r="L11" i="22"/>
  <c r="K11" i="22"/>
  <c r="H11" i="22"/>
  <c r="D11" i="22"/>
  <c r="C11" i="22"/>
  <c r="B11" i="22"/>
  <c r="A11" i="22"/>
  <c r="T10" i="22"/>
  <c r="S10" i="22"/>
  <c r="N10" i="22"/>
  <c r="M10" i="22"/>
  <c r="L10" i="22"/>
  <c r="K10" i="22"/>
  <c r="H10" i="22"/>
  <c r="D10" i="22"/>
  <c r="C10" i="22"/>
  <c r="B10" i="22"/>
  <c r="A10" i="22"/>
  <c r="T9" i="22"/>
  <c r="S9" i="22"/>
  <c r="N9" i="22"/>
  <c r="M9" i="22"/>
  <c r="L9" i="22"/>
  <c r="K9" i="22"/>
  <c r="H9" i="22"/>
  <c r="D9" i="22"/>
  <c r="C9" i="22"/>
  <c r="B9" i="22"/>
  <c r="A9" i="22"/>
  <c r="T8" i="22"/>
  <c r="S8" i="22"/>
  <c r="N8" i="22"/>
  <c r="M8" i="22"/>
  <c r="L8" i="22"/>
  <c r="K8" i="22"/>
  <c r="H8" i="22"/>
  <c r="D8" i="22"/>
  <c r="C8" i="22"/>
  <c r="B8" i="22"/>
  <c r="A8" i="22"/>
  <c r="I70" i="22"/>
  <c r="J70" i="22" s="1"/>
  <c r="O70" i="22" s="1"/>
  <c r="I69" i="22"/>
  <c r="J69" i="22" s="1"/>
  <c r="O69" i="22" s="1"/>
  <c r="I68" i="22"/>
  <c r="J68" i="22" s="1"/>
  <c r="O68" i="22" s="1"/>
  <c r="I67" i="22"/>
  <c r="J67" i="22" s="1"/>
  <c r="O67" i="22" s="1"/>
  <c r="I66" i="22"/>
  <c r="J66" i="22" s="1"/>
  <c r="O66" i="22" s="1"/>
  <c r="I65" i="22"/>
  <c r="J65" i="22" s="1"/>
  <c r="O65" i="22" s="1"/>
  <c r="I64" i="22"/>
  <c r="J64" i="22" s="1"/>
  <c r="O64" i="22" s="1"/>
  <c r="I63" i="22"/>
  <c r="J63" i="22" s="1"/>
  <c r="O63" i="22" s="1"/>
  <c r="I62" i="22"/>
  <c r="J62" i="22" s="1"/>
  <c r="O62" i="22" s="1"/>
  <c r="I61" i="22"/>
  <c r="J61" i="22" s="1"/>
  <c r="O61" i="22" s="1"/>
  <c r="I60" i="22"/>
  <c r="J60" i="22" s="1"/>
  <c r="O60" i="22" s="1"/>
  <c r="I59" i="22"/>
  <c r="J59" i="22" s="1"/>
  <c r="O59" i="22" s="1"/>
  <c r="I58" i="22"/>
  <c r="J58" i="22" s="1"/>
  <c r="O58" i="22" s="1"/>
  <c r="I57" i="22"/>
  <c r="J57" i="22" s="1"/>
  <c r="O57" i="22" s="1"/>
  <c r="I56" i="22"/>
  <c r="J56" i="22" s="1"/>
  <c r="O56" i="22" s="1"/>
  <c r="I55" i="22"/>
  <c r="J55" i="22" s="1"/>
  <c r="O55" i="22" s="1"/>
  <c r="I46" i="22"/>
  <c r="J46" i="22" s="1"/>
  <c r="O46" i="22" s="1"/>
  <c r="I45" i="22"/>
  <c r="J45" i="22" s="1"/>
  <c r="O45" i="22" s="1"/>
  <c r="I44" i="22"/>
  <c r="J44" i="22" s="1"/>
  <c r="O44" i="22" s="1"/>
  <c r="I43" i="22"/>
  <c r="J43" i="22" s="1"/>
  <c r="O43" i="22" s="1"/>
  <c r="I42" i="22"/>
  <c r="J42" i="22" s="1"/>
  <c r="O42" i="22" s="1"/>
  <c r="I41" i="22"/>
  <c r="J41" i="22" s="1"/>
  <c r="O41" i="22" s="1"/>
  <c r="I40" i="22"/>
  <c r="J40" i="22" s="1"/>
  <c r="O40" i="22" s="1"/>
  <c r="I39" i="22"/>
  <c r="J39" i="22" s="1"/>
  <c r="O39" i="22" s="1"/>
  <c r="I38" i="22"/>
  <c r="J38" i="22" s="1"/>
  <c r="O38" i="22" s="1"/>
  <c r="I37" i="22"/>
  <c r="J37" i="22" s="1"/>
  <c r="O37" i="22" s="1"/>
  <c r="I36" i="22"/>
  <c r="J36" i="22" s="1"/>
  <c r="O36" i="22" s="1"/>
  <c r="I35" i="22"/>
  <c r="J35" i="22" s="1"/>
  <c r="O35" i="22" s="1"/>
  <c r="I34" i="22"/>
  <c r="J34" i="22" s="1"/>
  <c r="O34" i="22" s="1"/>
  <c r="I33" i="22"/>
  <c r="J33" i="22" s="1"/>
  <c r="O33" i="22" s="1"/>
  <c r="I32" i="22"/>
  <c r="J32" i="22" s="1"/>
  <c r="O32" i="22" s="1"/>
  <c r="I23" i="22"/>
  <c r="J23" i="22" s="1"/>
  <c r="O23" i="22" s="1"/>
  <c r="I22" i="22"/>
  <c r="J22" i="22" s="1"/>
  <c r="O22" i="22" s="1"/>
  <c r="I21" i="22"/>
  <c r="J21" i="22" s="1"/>
  <c r="O21" i="22" s="1"/>
  <c r="I20" i="22"/>
  <c r="J20" i="22" s="1"/>
  <c r="O20" i="22" s="1"/>
  <c r="I19" i="22"/>
  <c r="J19" i="22" s="1"/>
  <c r="O19" i="22" s="1"/>
  <c r="I18" i="22"/>
  <c r="J18" i="22" s="1"/>
  <c r="O18" i="22" s="1"/>
  <c r="I17" i="22"/>
  <c r="J17" i="22" s="1"/>
  <c r="O17" i="22" s="1"/>
  <c r="I16" i="22"/>
  <c r="J16" i="22" s="1"/>
  <c r="O16" i="22" s="1"/>
  <c r="I15" i="22"/>
  <c r="J15" i="22" s="1"/>
  <c r="O15" i="22" s="1"/>
  <c r="I14" i="22"/>
  <c r="J14" i="22" s="1"/>
  <c r="O14" i="22" s="1"/>
  <c r="I13" i="22"/>
  <c r="J13" i="22" s="1"/>
  <c r="O13" i="22" s="1"/>
  <c r="I12" i="22"/>
  <c r="J12" i="22" s="1"/>
  <c r="O12" i="22" s="1"/>
  <c r="I11" i="22"/>
  <c r="J11" i="22" s="1"/>
  <c r="O11" i="22" s="1"/>
  <c r="I10" i="22"/>
  <c r="J10" i="22" s="1"/>
  <c r="O10" i="22" s="1"/>
  <c r="I9" i="22"/>
  <c r="J9" i="22" s="1"/>
  <c r="O9" i="22" s="1"/>
  <c r="I8" i="22"/>
  <c r="J8" i="22" s="1"/>
  <c r="O8" i="22" s="1"/>
  <c r="T68" i="20"/>
  <c r="S68" i="20"/>
  <c r="N68" i="20"/>
  <c r="M68" i="20"/>
  <c r="L68" i="20"/>
  <c r="K68" i="20"/>
  <c r="H68" i="20"/>
  <c r="D68" i="20"/>
  <c r="C68" i="20"/>
  <c r="B68" i="20"/>
  <c r="A68" i="20"/>
  <c r="T67" i="20"/>
  <c r="S67" i="20"/>
  <c r="N67" i="20"/>
  <c r="M67" i="20"/>
  <c r="L67" i="20"/>
  <c r="K67" i="20"/>
  <c r="H67" i="20"/>
  <c r="D67" i="20"/>
  <c r="C67" i="20"/>
  <c r="B67" i="20"/>
  <c r="A67" i="20"/>
  <c r="T66" i="20"/>
  <c r="S66" i="20"/>
  <c r="N66" i="20"/>
  <c r="M66" i="20"/>
  <c r="L66" i="20"/>
  <c r="K66" i="20"/>
  <c r="H66" i="20"/>
  <c r="D66" i="20"/>
  <c r="C66" i="20"/>
  <c r="B66" i="20"/>
  <c r="A66" i="20"/>
  <c r="T65" i="20"/>
  <c r="S65" i="20"/>
  <c r="N65" i="20"/>
  <c r="M65" i="20"/>
  <c r="L65" i="20"/>
  <c r="K65" i="20"/>
  <c r="H65" i="20"/>
  <c r="D65" i="20"/>
  <c r="C65" i="20"/>
  <c r="B65" i="20"/>
  <c r="A65" i="20"/>
  <c r="T64" i="20"/>
  <c r="S64" i="20"/>
  <c r="N64" i="20"/>
  <c r="M64" i="20"/>
  <c r="L64" i="20"/>
  <c r="K64" i="20"/>
  <c r="H64" i="20"/>
  <c r="D64" i="20"/>
  <c r="C64" i="20"/>
  <c r="B64" i="20"/>
  <c r="A64" i="20"/>
  <c r="T63" i="20"/>
  <c r="S63" i="20"/>
  <c r="N63" i="20"/>
  <c r="M63" i="20"/>
  <c r="L63" i="20"/>
  <c r="K63" i="20"/>
  <c r="H63" i="20"/>
  <c r="D63" i="20"/>
  <c r="C63" i="20"/>
  <c r="B63" i="20"/>
  <c r="A63" i="20"/>
  <c r="T62" i="20"/>
  <c r="S62" i="20"/>
  <c r="N62" i="20"/>
  <c r="M62" i="20"/>
  <c r="L62" i="20"/>
  <c r="K62" i="20"/>
  <c r="H62" i="20"/>
  <c r="D62" i="20"/>
  <c r="C62" i="20"/>
  <c r="B62" i="20"/>
  <c r="A62" i="20"/>
  <c r="T61" i="20"/>
  <c r="S61" i="20"/>
  <c r="N61" i="20"/>
  <c r="M61" i="20"/>
  <c r="L61" i="20"/>
  <c r="K61" i="20"/>
  <c r="H61" i="20"/>
  <c r="G61" i="20"/>
  <c r="D61" i="20"/>
  <c r="C61" i="20"/>
  <c r="B61" i="20"/>
  <c r="A61" i="20"/>
  <c r="T60" i="20"/>
  <c r="S60" i="20"/>
  <c r="N60" i="20"/>
  <c r="M60" i="20"/>
  <c r="L60" i="20"/>
  <c r="K60" i="20"/>
  <c r="H60" i="20"/>
  <c r="G60" i="20"/>
  <c r="D60" i="20"/>
  <c r="C60" i="20"/>
  <c r="B60" i="20"/>
  <c r="A60" i="20"/>
  <c r="T59" i="20"/>
  <c r="S59" i="20"/>
  <c r="N59" i="20"/>
  <c r="M59" i="20"/>
  <c r="L59" i="20"/>
  <c r="K59" i="20"/>
  <c r="H59" i="20"/>
  <c r="D59" i="20"/>
  <c r="C59" i="20"/>
  <c r="B59" i="20"/>
  <c r="A59" i="20"/>
  <c r="T58" i="20"/>
  <c r="S58" i="20"/>
  <c r="N58" i="20"/>
  <c r="M58" i="20"/>
  <c r="L58" i="20"/>
  <c r="K58" i="20"/>
  <c r="H58" i="20"/>
  <c r="G58" i="20"/>
  <c r="E58" i="20"/>
  <c r="D58" i="20"/>
  <c r="C58" i="20"/>
  <c r="B58" i="20"/>
  <c r="A58" i="20"/>
  <c r="T57" i="20"/>
  <c r="S57" i="20"/>
  <c r="N57" i="20"/>
  <c r="M57" i="20"/>
  <c r="L57" i="20"/>
  <c r="K57" i="20"/>
  <c r="H57" i="20"/>
  <c r="D57" i="20"/>
  <c r="C57" i="20"/>
  <c r="B57" i="20"/>
  <c r="A57" i="20"/>
  <c r="T56" i="20"/>
  <c r="S56" i="20"/>
  <c r="N56" i="20"/>
  <c r="M56" i="20"/>
  <c r="L56" i="20"/>
  <c r="K56" i="20"/>
  <c r="H56" i="20"/>
  <c r="D56" i="20"/>
  <c r="C56" i="20"/>
  <c r="B56" i="20"/>
  <c r="A56" i="20"/>
  <c r="T55" i="20"/>
  <c r="S55" i="20"/>
  <c r="N55" i="20"/>
  <c r="M55" i="20"/>
  <c r="L55" i="20"/>
  <c r="K55" i="20"/>
  <c r="H55" i="20"/>
  <c r="D55" i="20"/>
  <c r="C55" i="20"/>
  <c r="B55" i="20"/>
  <c r="A55" i="20"/>
  <c r="T54" i="20"/>
  <c r="S54" i="20"/>
  <c r="N54" i="20"/>
  <c r="M54" i="20"/>
  <c r="L54" i="20"/>
  <c r="K54" i="20"/>
  <c r="H54" i="20"/>
  <c r="D54" i="20"/>
  <c r="C54" i="20"/>
  <c r="B54" i="20"/>
  <c r="A54" i="20"/>
  <c r="N45" i="20"/>
  <c r="M45" i="20"/>
  <c r="L45" i="20"/>
  <c r="K45" i="20"/>
  <c r="G45" i="20"/>
  <c r="F45" i="20"/>
  <c r="D45" i="20"/>
  <c r="C45" i="20"/>
  <c r="B45" i="20"/>
  <c r="A45" i="20"/>
  <c r="N44" i="20"/>
  <c r="M44" i="20"/>
  <c r="L44" i="20"/>
  <c r="K44" i="20"/>
  <c r="G44" i="20"/>
  <c r="F44" i="20"/>
  <c r="D44" i="20"/>
  <c r="C44" i="20"/>
  <c r="B44" i="20"/>
  <c r="A44" i="20"/>
  <c r="N43" i="20"/>
  <c r="M43" i="20"/>
  <c r="L43" i="20"/>
  <c r="K43" i="20"/>
  <c r="G43" i="20"/>
  <c r="F43" i="20"/>
  <c r="D43" i="20"/>
  <c r="C43" i="20"/>
  <c r="B43" i="20"/>
  <c r="A43" i="20"/>
  <c r="N42" i="20"/>
  <c r="M42" i="20"/>
  <c r="L42" i="20"/>
  <c r="K42" i="20"/>
  <c r="G42" i="20"/>
  <c r="F42" i="20"/>
  <c r="D42" i="20"/>
  <c r="C42" i="20"/>
  <c r="B42" i="20"/>
  <c r="A42" i="20"/>
  <c r="N41" i="20"/>
  <c r="M41" i="20"/>
  <c r="L41" i="20"/>
  <c r="K41" i="20"/>
  <c r="G41" i="20"/>
  <c r="F41" i="20"/>
  <c r="D41" i="20"/>
  <c r="C41" i="20"/>
  <c r="B41" i="20"/>
  <c r="A41" i="20"/>
  <c r="N40" i="20"/>
  <c r="M40" i="20"/>
  <c r="L40" i="20"/>
  <c r="K40" i="20"/>
  <c r="G40" i="20"/>
  <c r="F40" i="20"/>
  <c r="D40" i="20"/>
  <c r="C40" i="20"/>
  <c r="B40" i="20"/>
  <c r="A40" i="20"/>
  <c r="N39" i="20"/>
  <c r="M39" i="20"/>
  <c r="L39" i="20"/>
  <c r="K39" i="20"/>
  <c r="G39" i="20"/>
  <c r="F39" i="20"/>
  <c r="D39" i="20"/>
  <c r="C39" i="20"/>
  <c r="B39" i="20"/>
  <c r="A39" i="20"/>
  <c r="N38" i="20"/>
  <c r="M38" i="20"/>
  <c r="L38" i="20"/>
  <c r="K38" i="20"/>
  <c r="G38" i="20"/>
  <c r="F38" i="20"/>
  <c r="D38" i="20"/>
  <c r="C38" i="20"/>
  <c r="B38" i="20"/>
  <c r="A38" i="20"/>
  <c r="T37" i="20"/>
  <c r="S37" i="20"/>
  <c r="N37" i="20"/>
  <c r="M37" i="20"/>
  <c r="L37" i="20"/>
  <c r="K37" i="20"/>
  <c r="G37" i="20"/>
  <c r="F37" i="20"/>
  <c r="D37" i="20"/>
  <c r="C37" i="20"/>
  <c r="B37" i="20"/>
  <c r="A37" i="20"/>
  <c r="T36" i="20"/>
  <c r="S36" i="20"/>
  <c r="N36" i="20"/>
  <c r="M36" i="20"/>
  <c r="L36" i="20"/>
  <c r="K36" i="20"/>
  <c r="G36" i="20"/>
  <c r="F36" i="20"/>
  <c r="E36" i="20"/>
  <c r="D36" i="20"/>
  <c r="C36" i="20"/>
  <c r="B36" i="20"/>
  <c r="A36" i="20"/>
  <c r="T35" i="20"/>
  <c r="S35" i="20"/>
  <c r="N35" i="20"/>
  <c r="M35" i="20"/>
  <c r="L35" i="20"/>
  <c r="K35" i="20"/>
  <c r="G35" i="20"/>
  <c r="F35" i="20"/>
  <c r="D35" i="20"/>
  <c r="C35" i="20"/>
  <c r="B35" i="20"/>
  <c r="A35" i="20"/>
  <c r="T34" i="20"/>
  <c r="S34" i="20"/>
  <c r="N34" i="20"/>
  <c r="M34" i="20"/>
  <c r="L34" i="20"/>
  <c r="K34" i="20"/>
  <c r="G34" i="20"/>
  <c r="F34" i="20"/>
  <c r="D34" i="20"/>
  <c r="C34" i="20"/>
  <c r="B34" i="20"/>
  <c r="A34" i="20"/>
  <c r="T33" i="20"/>
  <c r="S33" i="20"/>
  <c r="N33" i="20"/>
  <c r="M33" i="20"/>
  <c r="L33" i="20"/>
  <c r="K33" i="20"/>
  <c r="H33" i="20"/>
  <c r="G33" i="20"/>
  <c r="F33" i="20"/>
  <c r="D33" i="20"/>
  <c r="C33" i="20"/>
  <c r="B33" i="20"/>
  <c r="A33" i="20"/>
  <c r="T32" i="20"/>
  <c r="S32" i="20"/>
  <c r="N32" i="20"/>
  <c r="M32" i="20"/>
  <c r="L32" i="20"/>
  <c r="K32" i="20"/>
  <c r="G32" i="20"/>
  <c r="F32" i="20"/>
  <c r="D32" i="20"/>
  <c r="C32" i="20"/>
  <c r="B32" i="20"/>
  <c r="A32" i="20"/>
  <c r="T23" i="20"/>
  <c r="S23" i="20"/>
  <c r="N23" i="20"/>
  <c r="M23" i="20"/>
  <c r="L23" i="20"/>
  <c r="K23" i="20"/>
  <c r="H23" i="20"/>
  <c r="D23" i="20"/>
  <c r="C23" i="20"/>
  <c r="B23" i="20"/>
  <c r="A23" i="20"/>
  <c r="T22" i="20"/>
  <c r="S22" i="20"/>
  <c r="N22" i="20"/>
  <c r="M22" i="20"/>
  <c r="L22" i="20"/>
  <c r="K22" i="20"/>
  <c r="H22" i="20"/>
  <c r="D22" i="20"/>
  <c r="C22" i="20"/>
  <c r="B22" i="20"/>
  <c r="A22" i="20"/>
  <c r="T21" i="20"/>
  <c r="S21" i="20"/>
  <c r="N21" i="20"/>
  <c r="M21" i="20"/>
  <c r="L21" i="20"/>
  <c r="K21" i="20"/>
  <c r="H21" i="20"/>
  <c r="D21" i="20"/>
  <c r="C21" i="20"/>
  <c r="B21" i="20"/>
  <c r="A21" i="20"/>
  <c r="T20" i="20"/>
  <c r="S20" i="20"/>
  <c r="N20" i="20"/>
  <c r="M20" i="20"/>
  <c r="L20" i="20"/>
  <c r="K20" i="20"/>
  <c r="H20" i="20"/>
  <c r="D20" i="20"/>
  <c r="C20" i="20"/>
  <c r="B20" i="20"/>
  <c r="A20" i="20"/>
  <c r="T19" i="20"/>
  <c r="S19" i="20"/>
  <c r="N19" i="20"/>
  <c r="M19" i="20"/>
  <c r="L19" i="20"/>
  <c r="K19" i="20"/>
  <c r="H19" i="20"/>
  <c r="D19" i="20"/>
  <c r="C19" i="20"/>
  <c r="B19" i="20"/>
  <c r="A19" i="20"/>
  <c r="T18" i="20"/>
  <c r="S18" i="20"/>
  <c r="N18" i="20"/>
  <c r="M18" i="20"/>
  <c r="L18" i="20"/>
  <c r="K18" i="20"/>
  <c r="H18" i="20"/>
  <c r="D18" i="20"/>
  <c r="C18" i="20"/>
  <c r="B18" i="20"/>
  <c r="A18" i="20"/>
  <c r="T17" i="20"/>
  <c r="S17" i="20"/>
  <c r="N17" i="20"/>
  <c r="M17" i="20"/>
  <c r="L17" i="20"/>
  <c r="K17" i="20"/>
  <c r="H17" i="20"/>
  <c r="D17" i="20"/>
  <c r="C17" i="20"/>
  <c r="B17" i="20"/>
  <c r="A17" i="20"/>
  <c r="T16" i="20"/>
  <c r="S16" i="20"/>
  <c r="N16" i="20"/>
  <c r="M16" i="20"/>
  <c r="L16" i="20"/>
  <c r="K16" i="20"/>
  <c r="H16" i="20"/>
  <c r="D16" i="20"/>
  <c r="C16" i="20"/>
  <c r="B16" i="20"/>
  <c r="A16" i="20"/>
  <c r="T15" i="20"/>
  <c r="S15" i="20"/>
  <c r="N15" i="20"/>
  <c r="M15" i="20"/>
  <c r="L15" i="20"/>
  <c r="K15" i="20"/>
  <c r="H15" i="20"/>
  <c r="D15" i="20"/>
  <c r="C15" i="20"/>
  <c r="B15" i="20"/>
  <c r="A15" i="20"/>
  <c r="T14" i="20"/>
  <c r="S14" i="20"/>
  <c r="N14" i="20"/>
  <c r="M14" i="20"/>
  <c r="L14" i="20"/>
  <c r="K14" i="20"/>
  <c r="H14" i="20"/>
  <c r="D14" i="20"/>
  <c r="C14" i="20"/>
  <c r="B14" i="20"/>
  <c r="A14" i="20"/>
  <c r="T13" i="20"/>
  <c r="S13" i="20"/>
  <c r="N13" i="20"/>
  <c r="M13" i="20"/>
  <c r="L13" i="20"/>
  <c r="K13" i="20"/>
  <c r="H13" i="20"/>
  <c r="D13" i="20"/>
  <c r="C13" i="20"/>
  <c r="B13" i="20"/>
  <c r="A13" i="20"/>
  <c r="T12" i="20"/>
  <c r="S12" i="20"/>
  <c r="N12" i="20"/>
  <c r="M12" i="20"/>
  <c r="L12" i="20"/>
  <c r="K12" i="20"/>
  <c r="H12" i="20"/>
  <c r="E12" i="20"/>
  <c r="D12" i="20"/>
  <c r="C12" i="20"/>
  <c r="B12" i="20"/>
  <c r="A12" i="20"/>
  <c r="T11" i="20"/>
  <c r="S11" i="20"/>
  <c r="N11" i="20"/>
  <c r="M11" i="20"/>
  <c r="L11" i="20"/>
  <c r="K11" i="20"/>
  <c r="H11" i="20"/>
  <c r="D11" i="20"/>
  <c r="C11" i="20"/>
  <c r="B11" i="20"/>
  <c r="A11" i="20"/>
  <c r="T10" i="20"/>
  <c r="S10" i="20"/>
  <c r="N10" i="20"/>
  <c r="M10" i="20"/>
  <c r="L10" i="20"/>
  <c r="K10" i="20"/>
  <c r="H10" i="20"/>
  <c r="D10" i="20"/>
  <c r="C10" i="20"/>
  <c r="B10" i="20"/>
  <c r="A10" i="20"/>
  <c r="T9" i="20"/>
  <c r="S9" i="20"/>
  <c r="N9" i="20"/>
  <c r="M9" i="20"/>
  <c r="L9" i="20"/>
  <c r="K9" i="20"/>
  <c r="H9" i="20"/>
  <c r="D9" i="20"/>
  <c r="C9" i="20"/>
  <c r="B9" i="20"/>
  <c r="A9" i="20"/>
  <c r="T8" i="20"/>
  <c r="S8" i="20"/>
  <c r="N8" i="20"/>
  <c r="M8" i="20"/>
  <c r="L8" i="20"/>
  <c r="K8" i="20"/>
  <c r="H8" i="20"/>
  <c r="D8" i="20"/>
  <c r="C8" i="20"/>
  <c r="B8" i="20"/>
  <c r="A8" i="20"/>
  <c r="I68" i="20"/>
  <c r="J68" i="20" s="1"/>
  <c r="O68" i="20" s="1"/>
  <c r="I67" i="20"/>
  <c r="J67" i="20" s="1"/>
  <c r="O67" i="20" s="1"/>
  <c r="I66" i="20"/>
  <c r="J66" i="20" s="1"/>
  <c r="O66" i="20" s="1"/>
  <c r="I65" i="20"/>
  <c r="J65" i="20" s="1"/>
  <c r="O65" i="20" s="1"/>
  <c r="I64" i="20"/>
  <c r="J64" i="20" s="1"/>
  <c r="O64" i="20" s="1"/>
  <c r="I63" i="20"/>
  <c r="J63" i="20" s="1"/>
  <c r="O63" i="20" s="1"/>
  <c r="I62" i="20"/>
  <c r="J62" i="20" s="1"/>
  <c r="O62" i="20" s="1"/>
  <c r="I61" i="20"/>
  <c r="J61" i="20" s="1"/>
  <c r="O61" i="20" s="1"/>
  <c r="I60" i="20"/>
  <c r="J60" i="20" s="1"/>
  <c r="O60" i="20" s="1"/>
  <c r="I59" i="20"/>
  <c r="J59" i="20" s="1"/>
  <c r="O59" i="20" s="1"/>
  <c r="I58" i="20"/>
  <c r="J58" i="20" s="1"/>
  <c r="O58" i="20" s="1"/>
  <c r="I57" i="20"/>
  <c r="J57" i="20" s="1"/>
  <c r="O57" i="20" s="1"/>
  <c r="I56" i="20"/>
  <c r="J56" i="20" s="1"/>
  <c r="O56" i="20" s="1"/>
  <c r="I55" i="20"/>
  <c r="J55" i="20" s="1"/>
  <c r="O55" i="20" s="1"/>
  <c r="I54" i="20"/>
  <c r="J54" i="20" s="1"/>
  <c r="O54" i="20" s="1"/>
  <c r="I45" i="20"/>
  <c r="J45" i="20" s="1"/>
  <c r="O45" i="20" s="1"/>
  <c r="I44" i="20"/>
  <c r="J44" i="20" s="1"/>
  <c r="O44" i="20" s="1"/>
  <c r="I43" i="20"/>
  <c r="J43" i="20" s="1"/>
  <c r="O43" i="20" s="1"/>
  <c r="I42" i="20"/>
  <c r="J42" i="20" s="1"/>
  <c r="O42" i="20" s="1"/>
  <c r="I41" i="20"/>
  <c r="J41" i="20" s="1"/>
  <c r="O41" i="20" s="1"/>
  <c r="I35" i="20"/>
  <c r="J35" i="20" s="1"/>
  <c r="O35" i="20" s="1"/>
  <c r="I34" i="20"/>
  <c r="J34" i="20" s="1"/>
  <c r="O34" i="20" s="1"/>
  <c r="I33" i="20"/>
  <c r="J33" i="20" s="1"/>
  <c r="O33" i="20" s="1"/>
  <c r="I32" i="20"/>
  <c r="J32" i="20" s="1"/>
  <c r="I23" i="20"/>
  <c r="J23" i="20" s="1"/>
  <c r="O23" i="20" s="1"/>
  <c r="I22" i="20"/>
  <c r="J22" i="20" s="1"/>
  <c r="O22" i="20" s="1"/>
  <c r="I21" i="20"/>
  <c r="J21" i="20" s="1"/>
  <c r="O21" i="20" s="1"/>
  <c r="Q21" i="20" s="1"/>
  <c r="I20" i="20"/>
  <c r="J20" i="20" s="1"/>
  <c r="O20" i="20" s="1"/>
  <c r="P20" i="20" s="1"/>
  <c r="R20" i="20" s="1"/>
  <c r="I19" i="20"/>
  <c r="J19" i="20" s="1"/>
  <c r="O19" i="20" s="1"/>
  <c r="I18" i="20"/>
  <c r="J18" i="20" s="1"/>
  <c r="O18" i="20" s="1"/>
  <c r="I17" i="20"/>
  <c r="J17" i="20" s="1"/>
  <c r="Q16" i="20"/>
  <c r="I16" i="20"/>
  <c r="J16" i="20" s="1"/>
  <c r="O16" i="20" s="1"/>
  <c r="P16" i="20" s="1"/>
  <c r="R16" i="20" s="1"/>
  <c r="I15" i="20"/>
  <c r="J15" i="20" s="1"/>
  <c r="O15" i="20" s="1"/>
  <c r="I14" i="20"/>
  <c r="J14" i="20" s="1"/>
  <c r="O14" i="20" s="1"/>
  <c r="I12" i="20"/>
  <c r="J12" i="20" s="1"/>
  <c r="O12" i="20" s="1"/>
  <c r="I11" i="20"/>
  <c r="J11" i="20" s="1"/>
  <c r="O11" i="20" s="1"/>
  <c r="I10" i="20"/>
  <c r="J10" i="20" s="1"/>
  <c r="O10" i="20" s="1"/>
  <c r="Q10" i="20" s="1"/>
  <c r="I9" i="20"/>
  <c r="J9" i="20" s="1"/>
  <c r="O9" i="20" s="1"/>
  <c r="P9" i="20" s="1"/>
  <c r="R9" i="20" s="1"/>
  <c r="I8" i="20"/>
  <c r="J8" i="20" s="1"/>
  <c r="O8" i="20" s="1"/>
  <c r="U44" i="27" l="1"/>
  <c r="T20" i="27"/>
  <c r="V20" i="27" s="1"/>
  <c r="T65" i="27"/>
  <c r="V65" i="27" s="1"/>
  <c r="T66" i="27"/>
  <c r="V66" i="27" s="1"/>
  <c r="T51" i="27"/>
  <c r="V51" i="27" s="1"/>
  <c r="U41" i="27"/>
  <c r="T72" i="27"/>
  <c r="V72" i="27" s="1"/>
  <c r="T38" i="27"/>
  <c r="V38" i="27" s="1"/>
  <c r="T11" i="27"/>
  <c r="V11" i="27" s="1"/>
  <c r="T50" i="27"/>
  <c r="V50" i="27" s="1"/>
  <c r="U10" i="27"/>
  <c r="T10" i="27"/>
  <c r="V10" i="27" s="1"/>
  <c r="U17" i="27"/>
  <c r="T17" i="27"/>
  <c r="V17" i="27" s="1"/>
  <c r="U40" i="27"/>
  <c r="T40" i="27"/>
  <c r="V40" i="27" s="1"/>
  <c r="L40" i="18"/>
  <c r="S40" i="18"/>
  <c r="U14" i="18"/>
  <c r="T14" i="18"/>
  <c r="V14" i="18" s="1"/>
  <c r="J50" i="18"/>
  <c r="K25" i="18"/>
  <c r="L25" i="18" s="1"/>
  <c r="K49" i="18"/>
  <c r="L49" i="18" s="1"/>
  <c r="S49" i="18"/>
  <c r="S50" i="18"/>
  <c r="P10" i="25"/>
  <c r="R10" i="25" s="1"/>
  <c r="Q10" i="25"/>
  <c r="Q16" i="25"/>
  <c r="P16" i="25"/>
  <c r="R16" i="25" s="1"/>
  <c r="Q18" i="25"/>
  <c r="P18" i="25"/>
  <c r="R18" i="25" s="1"/>
  <c r="Q20" i="25"/>
  <c r="P20" i="25"/>
  <c r="R20" i="25" s="1"/>
  <c r="Q22" i="25"/>
  <c r="P22" i="25"/>
  <c r="R22" i="25" s="1"/>
  <c r="Q34" i="25"/>
  <c r="P34" i="25"/>
  <c r="R34" i="25" s="1"/>
  <c r="Q36" i="25"/>
  <c r="P36" i="25"/>
  <c r="R36" i="25" s="1"/>
  <c r="Q40" i="25"/>
  <c r="P40" i="25"/>
  <c r="R40" i="25" s="1"/>
  <c r="Q44" i="25"/>
  <c r="P44" i="25"/>
  <c r="R44" i="25" s="1"/>
  <c r="Q58" i="25"/>
  <c r="P58" i="25"/>
  <c r="R58" i="25" s="1"/>
  <c r="P65" i="25"/>
  <c r="R65" i="25" s="1"/>
  <c r="Q65" i="25"/>
  <c r="P67" i="25"/>
  <c r="R67" i="25" s="1"/>
  <c r="Q67" i="25"/>
  <c r="P9" i="25"/>
  <c r="R9" i="25" s="1"/>
  <c r="Q9" i="25"/>
  <c r="Q14" i="25"/>
  <c r="P14" i="25"/>
  <c r="R14" i="25" s="1"/>
  <c r="P32" i="25"/>
  <c r="R32" i="25" s="1"/>
  <c r="Q32" i="25"/>
  <c r="Q33" i="25"/>
  <c r="P33" i="25"/>
  <c r="R33" i="25" s="1"/>
  <c r="P41" i="25"/>
  <c r="R41" i="25" s="1"/>
  <c r="Q41" i="25"/>
  <c r="Q53" i="25"/>
  <c r="P53" i="25"/>
  <c r="R53" i="25" s="1"/>
  <c r="Q55" i="25"/>
  <c r="P55" i="25"/>
  <c r="R55" i="25" s="1"/>
  <c r="Q57" i="25"/>
  <c r="P57" i="25"/>
  <c r="R57" i="25" s="1"/>
  <c r="P8" i="25"/>
  <c r="R8" i="25" s="1"/>
  <c r="Q8" i="25"/>
  <c r="Q13" i="25"/>
  <c r="P13" i="25"/>
  <c r="R13" i="25" s="1"/>
  <c r="Q15" i="25"/>
  <c r="P15" i="25"/>
  <c r="R15" i="25" s="1"/>
  <c r="Q17" i="25"/>
  <c r="P17" i="25"/>
  <c r="R17" i="25" s="1"/>
  <c r="Q19" i="25"/>
  <c r="P19" i="25"/>
  <c r="R19" i="25" s="1"/>
  <c r="Q21" i="25"/>
  <c r="P21" i="25"/>
  <c r="R21" i="25" s="1"/>
  <c r="Q31" i="25"/>
  <c r="P31" i="25"/>
  <c r="R31" i="25" s="1"/>
  <c r="Q37" i="25"/>
  <c r="P37" i="25"/>
  <c r="R37" i="25" s="1"/>
  <c r="Q38" i="25"/>
  <c r="P38" i="25"/>
  <c r="R38" i="25" s="1"/>
  <c r="Q42" i="25"/>
  <c r="P42" i="25"/>
  <c r="R42" i="25" s="1"/>
  <c r="Q61" i="25"/>
  <c r="P61" i="25"/>
  <c r="R61" i="25" s="1"/>
  <c r="Q62" i="25"/>
  <c r="P62" i="25"/>
  <c r="R62" i="25" s="1"/>
  <c r="P64" i="25"/>
  <c r="R64" i="25" s="1"/>
  <c r="Q64" i="25"/>
  <c r="P66" i="25"/>
  <c r="R66" i="25" s="1"/>
  <c r="Q66" i="25"/>
  <c r="P11" i="25"/>
  <c r="R11" i="25" s="1"/>
  <c r="Q11" i="25"/>
  <c r="Q12" i="25"/>
  <c r="P12" i="25"/>
  <c r="R12" i="25" s="1"/>
  <c r="P35" i="25"/>
  <c r="R35" i="25" s="1"/>
  <c r="Q35" i="25"/>
  <c r="Q39" i="25"/>
  <c r="P39" i="25"/>
  <c r="R39" i="25" s="1"/>
  <c r="Q43" i="25"/>
  <c r="P43" i="25"/>
  <c r="R43" i="25" s="1"/>
  <c r="Q54" i="25"/>
  <c r="P54" i="25"/>
  <c r="R54" i="25" s="1"/>
  <c r="Q56" i="25"/>
  <c r="P56" i="25"/>
  <c r="R56" i="25" s="1"/>
  <c r="Q59" i="25"/>
  <c r="P59" i="25"/>
  <c r="R59" i="25" s="1"/>
  <c r="Q60" i="25"/>
  <c r="P60" i="25"/>
  <c r="R60" i="25" s="1"/>
  <c r="P63" i="25"/>
  <c r="R63" i="25" s="1"/>
  <c r="Q63" i="25"/>
  <c r="Q8" i="24"/>
  <c r="P8" i="24"/>
  <c r="R8" i="24" s="1"/>
  <c r="Q13" i="24"/>
  <c r="P13" i="24"/>
  <c r="R13" i="24" s="1"/>
  <c r="Q29" i="24"/>
  <c r="P29" i="24"/>
  <c r="R29" i="24" s="1"/>
  <c r="Q30" i="24"/>
  <c r="P30" i="24"/>
  <c r="R30" i="24" s="1"/>
  <c r="P37" i="24"/>
  <c r="R37" i="24" s="1"/>
  <c r="Q37" i="24"/>
  <c r="Q54" i="24"/>
  <c r="P54" i="24"/>
  <c r="R54" i="24" s="1"/>
  <c r="Q56" i="24"/>
  <c r="P56" i="24"/>
  <c r="R56" i="24" s="1"/>
  <c r="P60" i="24"/>
  <c r="R60" i="24" s="1"/>
  <c r="Q60" i="24"/>
  <c r="Q11" i="24"/>
  <c r="P11" i="24"/>
  <c r="R11" i="24" s="1"/>
  <c r="P12" i="24"/>
  <c r="R12" i="24" s="1"/>
  <c r="Q12" i="24"/>
  <c r="P15" i="24"/>
  <c r="R15" i="24" s="1"/>
  <c r="Q15" i="24"/>
  <c r="P17" i="24"/>
  <c r="R17" i="24" s="1"/>
  <c r="Q17" i="24"/>
  <c r="P19" i="24"/>
  <c r="R19" i="24" s="1"/>
  <c r="Q19" i="24"/>
  <c r="Q34" i="24"/>
  <c r="P34" i="24"/>
  <c r="R34" i="24" s="1"/>
  <c r="P35" i="24"/>
  <c r="R35" i="24" s="1"/>
  <c r="Q35" i="24"/>
  <c r="P38" i="24"/>
  <c r="R38" i="24" s="1"/>
  <c r="Q38" i="24"/>
  <c r="P49" i="24"/>
  <c r="R49" i="24" s="1"/>
  <c r="Q49" i="24"/>
  <c r="P51" i="24"/>
  <c r="R51" i="24" s="1"/>
  <c r="Q51" i="24"/>
  <c r="Q53" i="24"/>
  <c r="P53" i="24"/>
  <c r="R53" i="24" s="1"/>
  <c r="P59" i="24"/>
  <c r="R59" i="24" s="1"/>
  <c r="Q59" i="24"/>
  <c r="P61" i="24"/>
  <c r="R61" i="24" s="1"/>
  <c r="Q61" i="24"/>
  <c r="Q10" i="24"/>
  <c r="P10" i="24"/>
  <c r="R10" i="24" s="1"/>
  <c r="P32" i="24"/>
  <c r="R32" i="24" s="1"/>
  <c r="Q32" i="24"/>
  <c r="Q33" i="24"/>
  <c r="P33" i="24"/>
  <c r="R33" i="24" s="1"/>
  <c r="Q39" i="24"/>
  <c r="P39" i="24"/>
  <c r="R39" i="24" s="1"/>
  <c r="Q55" i="24"/>
  <c r="P55" i="24"/>
  <c r="R55" i="24" s="1"/>
  <c r="Q9" i="24"/>
  <c r="P9" i="24"/>
  <c r="R9" i="24" s="1"/>
  <c r="P14" i="24"/>
  <c r="R14" i="24" s="1"/>
  <c r="Q14" i="24"/>
  <c r="P16" i="24"/>
  <c r="R16" i="24" s="1"/>
  <c r="Q16" i="24"/>
  <c r="P18" i="24"/>
  <c r="R18" i="24" s="1"/>
  <c r="Q18" i="24"/>
  <c r="P20" i="24"/>
  <c r="R20" i="24" s="1"/>
  <c r="Q20" i="24"/>
  <c r="P31" i="24"/>
  <c r="R31" i="24" s="1"/>
  <c r="Q31" i="24"/>
  <c r="Q36" i="24"/>
  <c r="P36" i="24"/>
  <c r="R36" i="24" s="1"/>
  <c r="Q40" i="24"/>
  <c r="P40" i="24"/>
  <c r="R40" i="24" s="1"/>
  <c r="P50" i="24"/>
  <c r="R50" i="24" s="1"/>
  <c r="Q50" i="24"/>
  <c r="P52" i="24"/>
  <c r="R52" i="24" s="1"/>
  <c r="Q52" i="24"/>
  <c r="P57" i="24"/>
  <c r="R57" i="24" s="1"/>
  <c r="Q57" i="24"/>
  <c r="P58" i="24"/>
  <c r="R58" i="24" s="1"/>
  <c r="Q58" i="24"/>
  <c r="Q14" i="23"/>
  <c r="P14" i="23"/>
  <c r="R14" i="23" s="1"/>
  <c r="Q16" i="23"/>
  <c r="P16" i="23"/>
  <c r="R16" i="23" s="1"/>
  <c r="Q18" i="23"/>
  <c r="P18" i="23"/>
  <c r="R18" i="23" s="1"/>
  <c r="Q20" i="23"/>
  <c r="P20" i="23"/>
  <c r="R20" i="23" s="1"/>
  <c r="Q22" i="23"/>
  <c r="P22" i="23"/>
  <c r="R22" i="23" s="1"/>
  <c r="Q32" i="23"/>
  <c r="P32" i="23"/>
  <c r="R32" i="23" s="1"/>
  <c r="Q33" i="23"/>
  <c r="P33" i="23"/>
  <c r="R33" i="23" s="1"/>
  <c r="Q39" i="23"/>
  <c r="P39" i="23"/>
  <c r="R39" i="23" s="1"/>
  <c r="Q43" i="23"/>
  <c r="P43" i="23"/>
  <c r="R43" i="23" s="1"/>
  <c r="Q59" i="23"/>
  <c r="P59" i="23"/>
  <c r="R59" i="23" s="1"/>
  <c r="Q60" i="23"/>
  <c r="P60" i="23"/>
  <c r="R60" i="23" s="1"/>
  <c r="Q8" i="23"/>
  <c r="P8" i="23"/>
  <c r="R8" i="23" s="1"/>
  <c r="Q10" i="23"/>
  <c r="P10" i="23"/>
  <c r="R10" i="23" s="1"/>
  <c r="P31" i="23"/>
  <c r="R31" i="23" s="1"/>
  <c r="Q31" i="23"/>
  <c r="Q37" i="23"/>
  <c r="P37" i="23"/>
  <c r="R37" i="23" s="1"/>
  <c r="Q40" i="23"/>
  <c r="P40" i="23"/>
  <c r="R40" i="23" s="1"/>
  <c r="Q44" i="23"/>
  <c r="P44" i="23"/>
  <c r="R44" i="23" s="1"/>
  <c r="P54" i="23"/>
  <c r="R54" i="23" s="1"/>
  <c r="Q54" i="23"/>
  <c r="P56" i="23"/>
  <c r="R56" i="23" s="1"/>
  <c r="Q56" i="23"/>
  <c r="Q58" i="23"/>
  <c r="P58" i="23"/>
  <c r="R58" i="23" s="1"/>
  <c r="P63" i="23"/>
  <c r="R63" i="23" s="1"/>
  <c r="Q63" i="23"/>
  <c r="P65" i="23"/>
  <c r="R65" i="23" s="1"/>
  <c r="Q65" i="23"/>
  <c r="P67" i="23"/>
  <c r="R67" i="23" s="1"/>
  <c r="Q67" i="23"/>
  <c r="P13" i="23"/>
  <c r="R13" i="23" s="1"/>
  <c r="Q13" i="23"/>
  <c r="Q15" i="23"/>
  <c r="P15" i="23"/>
  <c r="R15" i="23" s="1"/>
  <c r="Q17" i="23"/>
  <c r="P17" i="23"/>
  <c r="R17" i="23" s="1"/>
  <c r="Q19" i="23"/>
  <c r="P19" i="23"/>
  <c r="R19" i="23" s="1"/>
  <c r="Q21" i="23"/>
  <c r="P21" i="23"/>
  <c r="R21" i="23" s="1"/>
  <c r="Q35" i="23"/>
  <c r="P35" i="23"/>
  <c r="R35" i="23" s="1"/>
  <c r="Q36" i="23"/>
  <c r="P36" i="23"/>
  <c r="R36" i="23" s="1"/>
  <c r="Q41" i="23"/>
  <c r="P41" i="23"/>
  <c r="R41" i="23" s="1"/>
  <c r="Q57" i="23"/>
  <c r="P57" i="23"/>
  <c r="R57" i="23" s="1"/>
  <c r="Q9" i="23"/>
  <c r="P9" i="23"/>
  <c r="R9" i="23" s="1"/>
  <c r="Q11" i="23"/>
  <c r="P11" i="23"/>
  <c r="R11" i="23" s="1"/>
  <c r="P12" i="23"/>
  <c r="R12" i="23" s="1"/>
  <c r="Q12" i="23"/>
  <c r="P34" i="23"/>
  <c r="R34" i="23" s="1"/>
  <c r="Q34" i="23"/>
  <c r="P38" i="23"/>
  <c r="R38" i="23" s="1"/>
  <c r="Q38" i="23"/>
  <c r="P42" i="23"/>
  <c r="R42" i="23" s="1"/>
  <c r="Q42" i="23"/>
  <c r="P53" i="23"/>
  <c r="R53" i="23" s="1"/>
  <c r="Q53" i="23"/>
  <c r="P55" i="23"/>
  <c r="R55" i="23" s="1"/>
  <c r="Q55" i="23"/>
  <c r="P61" i="23"/>
  <c r="R61" i="23" s="1"/>
  <c r="Q61" i="23"/>
  <c r="P62" i="23"/>
  <c r="R62" i="23" s="1"/>
  <c r="Q62" i="23"/>
  <c r="P64" i="23"/>
  <c r="R64" i="23" s="1"/>
  <c r="Q64" i="23"/>
  <c r="P66" i="23"/>
  <c r="R66" i="23" s="1"/>
  <c r="Q66" i="23"/>
  <c r="Q8" i="22"/>
  <c r="P8" i="22"/>
  <c r="R8" i="22" s="1"/>
  <c r="Q11" i="22"/>
  <c r="P11" i="22"/>
  <c r="R11" i="22" s="1"/>
  <c r="Q15" i="22"/>
  <c r="P15" i="22"/>
  <c r="R15" i="22" s="1"/>
  <c r="P18" i="22"/>
  <c r="R18" i="22" s="1"/>
  <c r="Q18" i="22"/>
  <c r="Q20" i="22"/>
  <c r="P20" i="22"/>
  <c r="R20" i="22" s="1"/>
  <c r="P58" i="22"/>
  <c r="R58" i="22" s="1"/>
  <c r="Q58" i="22"/>
  <c r="Q62" i="22"/>
  <c r="P62" i="22"/>
  <c r="R62" i="22" s="1"/>
  <c r="Q63" i="22"/>
  <c r="P63" i="22"/>
  <c r="R63" i="22" s="1"/>
  <c r="Q64" i="22"/>
  <c r="P64" i="22"/>
  <c r="R64" i="22" s="1"/>
  <c r="Q68" i="22"/>
  <c r="P68" i="22"/>
  <c r="R68" i="22" s="1"/>
  <c r="Q17" i="22"/>
  <c r="P17" i="22"/>
  <c r="R17" i="22" s="1"/>
  <c r="Q19" i="22"/>
  <c r="P19" i="22"/>
  <c r="R19" i="22" s="1"/>
  <c r="P22" i="22"/>
  <c r="R22" i="22" s="1"/>
  <c r="Q22" i="22"/>
  <c r="Q32" i="22"/>
  <c r="P32" i="22"/>
  <c r="R32" i="22" s="1"/>
  <c r="Q40" i="22"/>
  <c r="P40" i="22"/>
  <c r="R40" i="22" s="1"/>
  <c r="Q42" i="22"/>
  <c r="P42" i="22"/>
  <c r="R42" i="22" s="1"/>
  <c r="Q44" i="22"/>
  <c r="P44" i="22"/>
  <c r="R44" i="22" s="1"/>
  <c r="Q46" i="22"/>
  <c r="P46" i="22"/>
  <c r="R46" i="22" s="1"/>
  <c r="Q59" i="22"/>
  <c r="P59" i="22"/>
  <c r="R59" i="22" s="1"/>
  <c r="Q61" i="22"/>
  <c r="P61" i="22"/>
  <c r="R61" i="22" s="1"/>
  <c r="Q67" i="22"/>
  <c r="P67" i="22"/>
  <c r="R67" i="22" s="1"/>
  <c r="P70" i="22"/>
  <c r="R70" i="22" s="1"/>
  <c r="Q70" i="22"/>
  <c r="P10" i="22"/>
  <c r="R10" i="22" s="1"/>
  <c r="Q10" i="22"/>
  <c r="Q9" i="22"/>
  <c r="P9" i="22"/>
  <c r="R9" i="22" s="1"/>
  <c r="Q23" i="22"/>
  <c r="P23" i="22"/>
  <c r="R23" i="22" s="1"/>
  <c r="Q33" i="22"/>
  <c r="P33" i="22"/>
  <c r="R33" i="22" s="1"/>
  <c r="P34" i="22"/>
  <c r="R34" i="22" s="1"/>
  <c r="Q34" i="22"/>
  <c r="Q35" i="22"/>
  <c r="P35" i="22"/>
  <c r="R35" i="22" s="1"/>
  <c r="Q36" i="22"/>
  <c r="P36" i="22"/>
  <c r="R36" i="22" s="1"/>
  <c r="P38" i="22"/>
  <c r="R38" i="22" s="1"/>
  <c r="Q38" i="22"/>
  <c r="Q55" i="22"/>
  <c r="P55" i="22"/>
  <c r="R55" i="22" s="1"/>
  <c r="Q57" i="22"/>
  <c r="P57" i="22"/>
  <c r="R57" i="22" s="1"/>
  <c r="P60" i="22"/>
  <c r="R60" i="22" s="1"/>
  <c r="Q60" i="22"/>
  <c r="Q69" i="22"/>
  <c r="P69" i="22"/>
  <c r="R69" i="22" s="1"/>
  <c r="Q12" i="22"/>
  <c r="P12" i="22"/>
  <c r="R12" i="22" s="1"/>
  <c r="P13" i="22"/>
  <c r="R13" i="22" s="1"/>
  <c r="Q13" i="22"/>
  <c r="P14" i="22"/>
  <c r="R14" i="22" s="1"/>
  <c r="Q14" i="22"/>
  <c r="Q16" i="22"/>
  <c r="P16" i="22"/>
  <c r="R16" i="22" s="1"/>
  <c r="Q21" i="22"/>
  <c r="P21" i="22"/>
  <c r="R21" i="22" s="1"/>
  <c r="Q37" i="22"/>
  <c r="P37" i="22"/>
  <c r="R37" i="22" s="1"/>
  <c r="Q39" i="22"/>
  <c r="P39" i="22"/>
  <c r="R39" i="22" s="1"/>
  <c r="Q41" i="22"/>
  <c r="P41" i="22"/>
  <c r="R41" i="22" s="1"/>
  <c r="Q43" i="22"/>
  <c r="P43" i="22"/>
  <c r="R43" i="22" s="1"/>
  <c r="Q45" i="22"/>
  <c r="P45" i="22"/>
  <c r="R45" i="22" s="1"/>
  <c r="Q56" i="22"/>
  <c r="P56" i="22"/>
  <c r="R56" i="22" s="1"/>
  <c r="Q65" i="22"/>
  <c r="P65" i="22"/>
  <c r="R65" i="22" s="1"/>
  <c r="P66" i="22"/>
  <c r="R66" i="22" s="1"/>
  <c r="Q66" i="22"/>
  <c r="Q9" i="20"/>
  <c r="P10" i="20"/>
  <c r="R10" i="20" s="1"/>
  <c r="Q15" i="20"/>
  <c r="P15" i="20"/>
  <c r="R15" i="20" s="1"/>
  <c r="P33" i="20"/>
  <c r="R33" i="20" s="1"/>
  <c r="Q33" i="20"/>
  <c r="Q34" i="20"/>
  <c r="P34" i="20"/>
  <c r="R34" i="20" s="1"/>
  <c r="P35" i="20"/>
  <c r="R35" i="20" s="1"/>
  <c r="Q35" i="20"/>
  <c r="Q19" i="20"/>
  <c r="P19" i="20"/>
  <c r="R19" i="20" s="1"/>
  <c r="Q8" i="20"/>
  <c r="P8" i="20"/>
  <c r="R8" i="20" s="1"/>
  <c r="P12" i="20"/>
  <c r="R12" i="20" s="1"/>
  <c r="Q12" i="20"/>
  <c r="Q14" i="20"/>
  <c r="P14" i="20"/>
  <c r="R14" i="20" s="1"/>
  <c r="Q22" i="20"/>
  <c r="P22" i="20"/>
  <c r="R22" i="20" s="1"/>
  <c r="Q20" i="20"/>
  <c r="P21" i="20"/>
  <c r="R21" i="20" s="1"/>
  <c r="Q23" i="20"/>
  <c r="P23" i="20"/>
  <c r="R23" i="20" s="1"/>
  <c r="I37" i="20"/>
  <c r="J37" i="20" s="1"/>
  <c r="O37" i="20" s="1"/>
  <c r="Q41" i="20"/>
  <c r="P41" i="20"/>
  <c r="R41" i="20" s="1"/>
  <c r="Q43" i="20"/>
  <c r="P43" i="20"/>
  <c r="R43" i="20" s="1"/>
  <c r="Q45" i="20"/>
  <c r="P45" i="20"/>
  <c r="R45" i="20" s="1"/>
  <c r="P58" i="20"/>
  <c r="R58" i="20" s="1"/>
  <c r="Q58" i="20"/>
  <c r="P59" i="20"/>
  <c r="R59" i="20" s="1"/>
  <c r="Q59" i="20"/>
  <c r="P64" i="20"/>
  <c r="R64" i="20" s="1"/>
  <c r="Q64" i="20"/>
  <c r="Q66" i="20"/>
  <c r="P66" i="20"/>
  <c r="R66" i="20" s="1"/>
  <c r="I13" i="20"/>
  <c r="J13" i="20" s="1"/>
  <c r="O13" i="20" s="1"/>
  <c r="O17" i="20"/>
  <c r="I36" i="20"/>
  <c r="J36" i="20" s="1"/>
  <c r="O36" i="20" s="1"/>
  <c r="I38" i="20"/>
  <c r="J38" i="20" s="1"/>
  <c r="O38" i="20" s="1"/>
  <c r="I39" i="20"/>
  <c r="J39" i="20" s="1"/>
  <c r="O39" i="20" s="1"/>
  <c r="I40" i="20"/>
  <c r="J40" i="20" s="1"/>
  <c r="O40" i="20" s="1"/>
  <c r="Q55" i="20"/>
  <c r="P55" i="20"/>
  <c r="R55" i="20" s="1"/>
  <c r="Q65" i="20"/>
  <c r="P65" i="20"/>
  <c r="R65" i="20" s="1"/>
  <c r="P68" i="20"/>
  <c r="R68" i="20" s="1"/>
  <c r="Q68" i="20"/>
  <c r="Q11" i="20"/>
  <c r="P11" i="20"/>
  <c r="R11" i="20" s="1"/>
  <c r="Q18" i="20"/>
  <c r="P18" i="20"/>
  <c r="R18" i="20" s="1"/>
  <c r="O32" i="20"/>
  <c r="Q42" i="20"/>
  <c r="P42" i="20"/>
  <c r="R42" i="20" s="1"/>
  <c r="Q44" i="20"/>
  <c r="P44" i="20"/>
  <c r="R44" i="20" s="1"/>
  <c r="Q54" i="20"/>
  <c r="P54" i="20"/>
  <c r="R54" i="20" s="1"/>
  <c r="P57" i="20"/>
  <c r="R57" i="20" s="1"/>
  <c r="Q57" i="20"/>
  <c r="Q63" i="20"/>
  <c r="P63" i="20"/>
  <c r="R63" i="20" s="1"/>
  <c r="P56" i="20"/>
  <c r="R56" i="20" s="1"/>
  <c r="Q56" i="20"/>
  <c r="Q60" i="20"/>
  <c r="P60" i="20"/>
  <c r="R60" i="20" s="1"/>
  <c r="Q61" i="20"/>
  <c r="P61" i="20"/>
  <c r="R61" i="20" s="1"/>
  <c r="Q62" i="20"/>
  <c r="P62" i="20"/>
  <c r="R62" i="20" s="1"/>
  <c r="Q67" i="20"/>
  <c r="P67" i="20"/>
  <c r="R67" i="20" s="1"/>
  <c r="X74" i="18"/>
  <c r="W74" i="18"/>
  <c r="P74" i="18"/>
  <c r="O74" i="18"/>
  <c r="N74" i="18"/>
  <c r="M74" i="18"/>
  <c r="H74" i="18"/>
  <c r="G74" i="18"/>
  <c r="F74" i="18"/>
  <c r="E74" i="18"/>
  <c r="D74" i="18"/>
  <c r="C74" i="18"/>
  <c r="B74" i="18"/>
  <c r="A74" i="18"/>
  <c r="X73" i="18"/>
  <c r="W73" i="18"/>
  <c r="P73" i="18"/>
  <c r="O73" i="18"/>
  <c r="N73" i="18"/>
  <c r="M73" i="18"/>
  <c r="H73" i="18"/>
  <c r="G73" i="18"/>
  <c r="F73" i="18"/>
  <c r="E73" i="18"/>
  <c r="D73" i="18"/>
  <c r="C73" i="18"/>
  <c r="B73" i="18"/>
  <c r="A73" i="18"/>
  <c r="R73" i="18" s="1"/>
  <c r="X72" i="18"/>
  <c r="W72" i="18"/>
  <c r="P72" i="18"/>
  <c r="O72" i="18"/>
  <c r="N72" i="18"/>
  <c r="M72" i="18"/>
  <c r="H72" i="18"/>
  <c r="G72" i="18"/>
  <c r="F72" i="18"/>
  <c r="E72" i="18"/>
  <c r="D72" i="18"/>
  <c r="C72" i="18"/>
  <c r="B72" i="18"/>
  <c r="A72" i="18"/>
  <c r="X71" i="18"/>
  <c r="W71" i="18"/>
  <c r="P71" i="18"/>
  <c r="O71" i="18"/>
  <c r="N71" i="18"/>
  <c r="M71" i="18"/>
  <c r="H71" i="18"/>
  <c r="G71" i="18"/>
  <c r="F71" i="18"/>
  <c r="E71" i="18"/>
  <c r="D71" i="18"/>
  <c r="C71" i="18"/>
  <c r="B71" i="18"/>
  <c r="A71" i="18"/>
  <c r="R71" i="18" s="1"/>
  <c r="X70" i="18"/>
  <c r="W70" i="18"/>
  <c r="P70" i="18"/>
  <c r="O70" i="18"/>
  <c r="N70" i="18"/>
  <c r="M70" i="18"/>
  <c r="H70" i="18"/>
  <c r="G70" i="18"/>
  <c r="F70" i="18"/>
  <c r="E70" i="18"/>
  <c r="D70" i="18"/>
  <c r="C70" i="18"/>
  <c r="B70" i="18"/>
  <c r="A70" i="18"/>
  <c r="X69" i="18"/>
  <c r="W69" i="18"/>
  <c r="P69" i="18"/>
  <c r="O69" i="18"/>
  <c r="N69" i="18"/>
  <c r="M69" i="18"/>
  <c r="H69" i="18"/>
  <c r="I69" i="18" s="1"/>
  <c r="G69" i="18"/>
  <c r="F69" i="18"/>
  <c r="E69" i="18"/>
  <c r="D69" i="18"/>
  <c r="C69" i="18"/>
  <c r="B69" i="18"/>
  <c r="A69" i="18"/>
  <c r="R69" i="18" s="1"/>
  <c r="X68" i="18"/>
  <c r="W68" i="18"/>
  <c r="P68" i="18"/>
  <c r="O68" i="18"/>
  <c r="N68" i="18"/>
  <c r="M68" i="18"/>
  <c r="H68" i="18"/>
  <c r="G68" i="18"/>
  <c r="F68" i="18"/>
  <c r="E68" i="18"/>
  <c r="D68" i="18"/>
  <c r="C68" i="18"/>
  <c r="B68" i="18"/>
  <c r="A68" i="18"/>
  <c r="X67" i="18"/>
  <c r="W67" i="18"/>
  <c r="P67" i="18"/>
  <c r="O67" i="18"/>
  <c r="N67" i="18"/>
  <c r="M67" i="18"/>
  <c r="H67" i="18"/>
  <c r="G67" i="18"/>
  <c r="F67" i="18"/>
  <c r="E67" i="18"/>
  <c r="D67" i="18"/>
  <c r="C67" i="18"/>
  <c r="B67" i="18"/>
  <c r="A67" i="18"/>
  <c r="R67" i="18" s="1"/>
  <c r="X66" i="18"/>
  <c r="W66" i="18"/>
  <c r="P66" i="18"/>
  <c r="O66" i="18"/>
  <c r="N66" i="18"/>
  <c r="M66" i="18"/>
  <c r="H66" i="18"/>
  <c r="G66" i="18"/>
  <c r="F66" i="18"/>
  <c r="E66" i="18"/>
  <c r="D66" i="18"/>
  <c r="C66" i="18"/>
  <c r="B66" i="18"/>
  <c r="A66" i="18"/>
  <c r="R66" i="18" s="1"/>
  <c r="X65" i="18"/>
  <c r="W65" i="18"/>
  <c r="P65" i="18"/>
  <c r="O65" i="18"/>
  <c r="N65" i="18"/>
  <c r="M65" i="18"/>
  <c r="H65" i="18"/>
  <c r="G65" i="18"/>
  <c r="F65" i="18"/>
  <c r="E65" i="18"/>
  <c r="D65" i="18"/>
  <c r="C65" i="18"/>
  <c r="B65" i="18"/>
  <c r="A65" i="18"/>
  <c r="R65" i="18" s="1"/>
  <c r="X64" i="18"/>
  <c r="W64" i="18"/>
  <c r="P64" i="18"/>
  <c r="O64" i="18"/>
  <c r="N64" i="18"/>
  <c r="M64" i="18"/>
  <c r="H64" i="18"/>
  <c r="G64" i="18"/>
  <c r="F64" i="18"/>
  <c r="E64" i="18"/>
  <c r="D64" i="18"/>
  <c r="C64" i="18"/>
  <c r="B64" i="18"/>
  <c r="A64" i="18"/>
  <c r="R64" i="18" s="1"/>
  <c r="X63" i="18"/>
  <c r="W63" i="18"/>
  <c r="P63" i="18"/>
  <c r="O63" i="18"/>
  <c r="N63" i="18"/>
  <c r="M63" i="18"/>
  <c r="H63" i="18"/>
  <c r="G63" i="18"/>
  <c r="F63" i="18"/>
  <c r="E63" i="18"/>
  <c r="D63" i="18"/>
  <c r="C63" i="18"/>
  <c r="B63" i="18"/>
  <c r="A63" i="18"/>
  <c r="R63" i="18" s="1"/>
  <c r="X62" i="18"/>
  <c r="W62" i="18"/>
  <c r="P62" i="18"/>
  <c r="O62" i="18"/>
  <c r="N62" i="18"/>
  <c r="M62" i="18"/>
  <c r="H62" i="18"/>
  <c r="G62" i="18"/>
  <c r="F62" i="18"/>
  <c r="E62" i="18"/>
  <c r="D62" i="18"/>
  <c r="C62" i="18"/>
  <c r="B62" i="18"/>
  <c r="A62" i="18"/>
  <c r="R62" i="18" s="1"/>
  <c r="X61" i="18"/>
  <c r="W61" i="18"/>
  <c r="P61" i="18"/>
  <c r="O61" i="18"/>
  <c r="N61" i="18"/>
  <c r="M61" i="18"/>
  <c r="H61" i="18"/>
  <c r="G61" i="18"/>
  <c r="F61" i="18"/>
  <c r="E61" i="18"/>
  <c r="D61" i="18"/>
  <c r="C61" i="18"/>
  <c r="B61" i="18"/>
  <c r="A61" i="18"/>
  <c r="R61" i="18" s="1"/>
  <c r="X60" i="18"/>
  <c r="W60" i="18"/>
  <c r="P60" i="18"/>
  <c r="O60" i="18"/>
  <c r="N60" i="18"/>
  <c r="M60" i="18"/>
  <c r="H60" i="18"/>
  <c r="G60" i="18"/>
  <c r="F60" i="18"/>
  <c r="E60" i="18"/>
  <c r="D60" i="18"/>
  <c r="C60" i="18"/>
  <c r="B60" i="18"/>
  <c r="A60" i="18"/>
  <c r="R60" i="18" s="1"/>
  <c r="X59" i="18"/>
  <c r="W59" i="18"/>
  <c r="P59" i="18"/>
  <c r="O59" i="18"/>
  <c r="N59" i="18"/>
  <c r="M59" i="18"/>
  <c r="H59" i="18"/>
  <c r="G59" i="18"/>
  <c r="F59" i="18"/>
  <c r="E59" i="18"/>
  <c r="D59" i="18"/>
  <c r="C59" i="18"/>
  <c r="B59" i="18"/>
  <c r="A59" i="18"/>
  <c r="R59" i="18" s="1"/>
  <c r="X48" i="18"/>
  <c r="W48" i="18"/>
  <c r="P48" i="18"/>
  <c r="O48" i="18"/>
  <c r="N48" i="18"/>
  <c r="M48" i="18"/>
  <c r="G48" i="18"/>
  <c r="F48" i="18"/>
  <c r="E48" i="18"/>
  <c r="D48" i="18"/>
  <c r="C48" i="18"/>
  <c r="B48" i="18"/>
  <c r="A48" i="18"/>
  <c r="X47" i="18"/>
  <c r="W47" i="18"/>
  <c r="P47" i="18"/>
  <c r="O47" i="18"/>
  <c r="N47" i="18"/>
  <c r="M47" i="18"/>
  <c r="G47" i="18"/>
  <c r="F47" i="18"/>
  <c r="I47" i="18" s="1"/>
  <c r="E47" i="18"/>
  <c r="D47" i="18"/>
  <c r="C47" i="18"/>
  <c r="B47" i="18"/>
  <c r="A47" i="18"/>
  <c r="R47" i="18" s="1"/>
  <c r="X46" i="18"/>
  <c r="W46" i="18"/>
  <c r="P46" i="18"/>
  <c r="O46" i="18"/>
  <c r="N46" i="18"/>
  <c r="M46" i="18"/>
  <c r="G46" i="18"/>
  <c r="F46" i="18"/>
  <c r="E46" i="18"/>
  <c r="D46" i="18"/>
  <c r="C46" i="18"/>
  <c r="B46" i="18"/>
  <c r="A46" i="18"/>
  <c r="X45" i="18"/>
  <c r="W45" i="18"/>
  <c r="P45" i="18"/>
  <c r="O45" i="18"/>
  <c r="N45" i="18"/>
  <c r="M45" i="18"/>
  <c r="G45" i="18"/>
  <c r="F45" i="18"/>
  <c r="E45" i="18"/>
  <c r="D45" i="18"/>
  <c r="C45" i="18"/>
  <c r="B45" i="18"/>
  <c r="A45" i="18"/>
  <c r="R45" i="18" s="1"/>
  <c r="X44" i="18"/>
  <c r="W44" i="18"/>
  <c r="P44" i="18"/>
  <c r="O44" i="18"/>
  <c r="N44" i="18"/>
  <c r="M44" i="18"/>
  <c r="G44" i="18"/>
  <c r="F44" i="18"/>
  <c r="E44" i="18"/>
  <c r="D44" i="18"/>
  <c r="C44" i="18"/>
  <c r="B44" i="18"/>
  <c r="A44" i="18"/>
  <c r="X43" i="18"/>
  <c r="W43" i="18"/>
  <c r="P43" i="18"/>
  <c r="O43" i="18"/>
  <c r="N43" i="18"/>
  <c r="M43" i="18"/>
  <c r="G43" i="18"/>
  <c r="F43" i="18"/>
  <c r="E43" i="18"/>
  <c r="D43" i="18"/>
  <c r="C43" i="18"/>
  <c r="B43" i="18"/>
  <c r="A43" i="18"/>
  <c r="R43" i="18" s="1"/>
  <c r="X42" i="18"/>
  <c r="W42" i="18"/>
  <c r="P42" i="18"/>
  <c r="O42" i="18"/>
  <c r="N42" i="18"/>
  <c r="M42" i="18"/>
  <c r="G42" i="18"/>
  <c r="F42" i="18"/>
  <c r="E42" i="18"/>
  <c r="D42" i="18"/>
  <c r="C42" i="18"/>
  <c r="B42" i="18"/>
  <c r="A42" i="18"/>
  <c r="R42" i="18" s="1"/>
  <c r="X41" i="18"/>
  <c r="W41" i="18"/>
  <c r="P41" i="18"/>
  <c r="O41" i="18"/>
  <c r="N41" i="18"/>
  <c r="M41" i="18"/>
  <c r="G41" i="18"/>
  <c r="F41" i="18"/>
  <c r="E41" i="18"/>
  <c r="D41" i="18"/>
  <c r="C41" i="18"/>
  <c r="B41" i="18"/>
  <c r="A41" i="18"/>
  <c r="R41" i="18" s="1"/>
  <c r="X39" i="18"/>
  <c r="W39" i="18"/>
  <c r="P39" i="18"/>
  <c r="O39" i="18"/>
  <c r="N39" i="18"/>
  <c r="M39" i="18"/>
  <c r="G39" i="18"/>
  <c r="F39" i="18"/>
  <c r="E39" i="18"/>
  <c r="D39" i="18"/>
  <c r="C39" i="18"/>
  <c r="B39" i="18"/>
  <c r="A39" i="18"/>
  <c r="X38" i="18"/>
  <c r="W38" i="18"/>
  <c r="P38" i="18"/>
  <c r="O38" i="18"/>
  <c r="N38" i="18"/>
  <c r="M38" i="18"/>
  <c r="G38" i="18"/>
  <c r="F38" i="18"/>
  <c r="E38" i="18"/>
  <c r="D38" i="18"/>
  <c r="C38" i="18"/>
  <c r="B38" i="18"/>
  <c r="A38" i="18"/>
  <c r="R38" i="18" s="1"/>
  <c r="X37" i="18"/>
  <c r="W37" i="18"/>
  <c r="P37" i="18"/>
  <c r="O37" i="18"/>
  <c r="N37" i="18"/>
  <c r="M37" i="18"/>
  <c r="G37" i="18"/>
  <c r="F37" i="18"/>
  <c r="E37" i="18"/>
  <c r="D37" i="18"/>
  <c r="C37" i="18"/>
  <c r="B37" i="18"/>
  <c r="A37" i="18"/>
  <c r="R37" i="18" s="1"/>
  <c r="X36" i="18"/>
  <c r="W36" i="18"/>
  <c r="P36" i="18"/>
  <c r="O36" i="18"/>
  <c r="N36" i="18"/>
  <c r="M36" i="18"/>
  <c r="G36" i="18"/>
  <c r="F36" i="18"/>
  <c r="E36" i="18"/>
  <c r="D36" i="18"/>
  <c r="C36" i="18"/>
  <c r="B36" i="18"/>
  <c r="A36" i="18"/>
  <c r="R36" i="18" s="1"/>
  <c r="X35" i="18"/>
  <c r="W35" i="18"/>
  <c r="P35" i="18"/>
  <c r="O35" i="18"/>
  <c r="N35" i="18"/>
  <c r="M35" i="18"/>
  <c r="H35" i="18"/>
  <c r="G35" i="18"/>
  <c r="F35" i="18"/>
  <c r="E35" i="18"/>
  <c r="D35" i="18"/>
  <c r="C35" i="18"/>
  <c r="B35" i="18"/>
  <c r="A35" i="18"/>
  <c r="X34" i="18"/>
  <c r="W34" i="18"/>
  <c r="P34" i="18"/>
  <c r="O34" i="18"/>
  <c r="N34" i="18"/>
  <c r="M34" i="18"/>
  <c r="G34" i="18"/>
  <c r="F34" i="18"/>
  <c r="E34" i="18"/>
  <c r="D34" i="18"/>
  <c r="C34" i="18"/>
  <c r="B34" i="18"/>
  <c r="A34" i="18"/>
  <c r="R34" i="18" s="1"/>
  <c r="X24" i="18"/>
  <c r="W24" i="18"/>
  <c r="P24" i="18"/>
  <c r="O24" i="18"/>
  <c r="N24" i="18"/>
  <c r="M24" i="18"/>
  <c r="H24" i="18"/>
  <c r="F24" i="18"/>
  <c r="E24" i="18"/>
  <c r="D24" i="18"/>
  <c r="C24" i="18"/>
  <c r="B24" i="18"/>
  <c r="A24" i="18"/>
  <c r="R24" i="18" s="1"/>
  <c r="X23" i="18"/>
  <c r="W23" i="18"/>
  <c r="P23" i="18"/>
  <c r="O23" i="18"/>
  <c r="N23" i="18"/>
  <c r="M23" i="18"/>
  <c r="H23" i="18"/>
  <c r="F23" i="18"/>
  <c r="E23" i="18"/>
  <c r="D23" i="18"/>
  <c r="C23" i="18"/>
  <c r="B23" i="18"/>
  <c r="A23" i="18"/>
  <c r="R23" i="18" s="1"/>
  <c r="X22" i="18"/>
  <c r="W22" i="18"/>
  <c r="P22" i="18"/>
  <c r="O22" i="18"/>
  <c r="N22" i="18"/>
  <c r="M22" i="18"/>
  <c r="H22" i="18"/>
  <c r="F22" i="18"/>
  <c r="E22" i="18"/>
  <c r="D22" i="18"/>
  <c r="C22" i="18"/>
  <c r="B22" i="18"/>
  <c r="A22" i="18"/>
  <c r="R22" i="18" s="1"/>
  <c r="X21" i="18"/>
  <c r="W21" i="18"/>
  <c r="P21" i="18"/>
  <c r="O21" i="18"/>
  <c r="N21" i="18"/>
  <c r="M21" i="18"/>
  <c r="H21" i="18"/>
  <c r="F21" i="18"/>
  <c r="E21" i="18"/>
  <c r="D21" i="18"/>
  <c r="C21" i="18"/>
  <c r="B21" i="18"/>
  <c r="A21" i="18"/>
  <c r="X20" i="18"/>
  <c r="W20" i="18"/>
  <c r="P20" i="18"/>
  <c r="O20" i="18"/>
  <c r="N20" i="18"/>
  <c r="M20" i="18"/>
  <c r="H20" i="18"/>
  <c r="F20" i="18"/>
  <c r="E20" i="18"/>
  <c r="D20" i="18"/>
  <c r="C20" i="18"/>
  <c r="B20" i="18"/>
  <c r="A20" i="18"/>
  <c r="R20" i="18" s="1"/>
  <c r="X19" i="18"/>
  <c r="W19" i="18"/>
  <c r="P19" i="18"/>
  <c r="O19" i="18"/>
  <c r="N19" i="18"/>
  <c r="M19" i="18"/>
  <c r="H19" i="18"/>
  <c r="F19" i="18"/>
  <c r="E19" i="18"/>
  <c r="D19" i="18"/>
  <c r="C19" i="18"/>
  <c r="B19" i="18"/>
  <c r="A19" i="18"/>
  <c r="R19" i="18" s="1"/>
  <c r="X18" i="18"/>
  <c r="W18" i="18"/>
  <c r="P18" i="18"/>
  <c r="O18" i="18"/>
  <c r="N18" i="18"/>
  <c r="M18" i="18"/>
  <c r="H18" i="18"/>
  <c r="F18" i="18"/>
  <c r="E18" i="18"/>
  <c r="D18" i="18"/>
  <c r="C18" i="18"/>
  <c r="B18" i="18"/>
  <c r="A18" i="18"/>
  <c r="R18" i="18" s="1"/>
  <c r="X17" i="18"/>
  <c r="W17" i="18"/>
  <c r="P17" i="18"/>
  <c r="O17" i="18"/>
  <c r="N17" i="18"/>
  <c r="M17" i="18"/>
  <c r="H17" i="18"/>
  <c r="F17" i="18"/>
  <c r="E17" i="18"/>
  <c r="D17" i="18"/>
  <c r="C17" i="18"/>
  <c r="B17" i="18"/>
  <c r="A17" i="18"/>
  <c r="X16" i="18"/>
  <c r="W16" i="18"/>
  <c r="P16" i="18"/>
  <c r="O16" i="18"/>
  <c r="N16" i="18"/>
  <c r="M16" i="18"/>
  <c r="H16" i="18"/>
  <c r="F16" i="18"/>
  <c r="E16" i="18"/>
  <c r="D16" i="18"/>
  <c r="C16" i="18"/>
  <c r="B16" i="18"/>
  <c r="A16" i="18"/>
  <c r="R16" i="18" s="1"/>
  <c r="X15" i="18"/>
  <c r="W15" i="18"/>
  <c r="P15" i="18"/>
  <c r="O15" i="18"/>
  <c r="N15" i="18"/>
  <c r="M15" i="18"/>
  <c r="H15" i="18"/>
  <c r="F15" i="18"/>
  <c r="E15" i="18"/>
  <c r="I15" i="18" s="1"/>
  <c r="D15" i="18"/>
  <c r="C15" i="18"/>
  <c r="B15" i="18"/>
  <c r="A15" i="18"/>
  <c r="R15" i="18" s="1"/>
  <c r="X13" i="18"/>
  <c r="W13" i="18"/>
  <c r="P13" i="18"/>
  <c r="O13" i="18"/>
  <c r="N13" i="18"/>
  <c r="M13" i="18"/>
  <c r="H13" i="18"/>
  <c r="F13" i="18"/>
  <c r="E13" i="18"/>
  <c r="D13" i="18"/>
  <c r="C13" i="18"/>
  <c r="B13" i="18"/>
  <c r="A13" i="18"/>
  <c r="R13" i="18" s="1"/>
  <c r="X12" i="18"/>
  <c r="W12" i="18"/>
  <c r="P12" i="18"/>
  <c r="O12" i="18"/>
  <c r="N12" i="18"/>
  <c r="M12" i="18"/>
  <c r="H12" i="18"/>
  <c r="F12" i="18"/>
  <c r="E12" i="18"/>
  <c r="D12" i="18"/>
  <c r="C12" i="18"/>
  <c r="B12" i="18"/>
  <c r="A12" i="18"/>
  <c r="X11" i="18"/>
  <c r="W11" i="18"/>
  <c r="P11" i="18"/>
  <c r="O11" i="18"/>
  <c r="N11" i="18"/>
  <c r="M11" i="18"/>
  <c r="H11" i="18"/>
  <c r="F11" i="18"/>
  <c r="E11" i="18"/>
  <c r="D11" i="18"/>
  <c r="C11" i="18"/>
  <c r="B11" i="18"/>
  <c r="A11" i="18"/>
  <c r="R11" i="18" s="1"/>
  <c r="X10" i="18"/>
  <c r="W10" i="18"/>
  <c r="P10" i="18"/>
  <c r="O10" i="18"/>
  <c r="N10" i="18"/>
  <c r="M10" i="18"/>
  <c r="H10" i="18"/>
  <c r="F10" i="18"/>
  <c r="E10" i="18"/>
  <c r="D10" i="18"/>
  <c r="C10" i="18"/>
  <c r="B10" i="18"/>
  <c r="A10" i="18"/>
  <c r="X9" i="18"/>
  <c r="W9" i="18"/>
  <c r="P9" i="18"/>
  <c r="O9" i="18"/>
  <c r="N9" i="18"/>
  <c r="M9" i="18"/>
  <c r="H9" i="18"/>
  <c r="F9" i="18"/>
  <c r="E9" i="18"/>
  <c r="D9" i="18"/>
  <c r="C9" i="18"/>
  <c r="B9" i="18"/>
  <c r="A9" i="18"/>
  <c r="R9" i="18" s="1"/>
  <c r="X8" i="18"/>
  <c r="W8" i="18"/>
  <c r="P8" i="18"/>
  <c r="O8" i="18"/>
  <c r="N8" i="18"/>
  <c r="M8" i="18"/>
  <c r="H8" i="18"/>
  <c r="F8" i="18"/>
  <c r="E8" i="18"/>
  <c r="D8" i="18"/>
  <c r="C8" i="18"/>
  <c r="B8" i="18"/>
  <c r="A8" i="18"/>
  <c r="Q74" i="18"/>
  <c r="R74" i="18"/>
  <c r="I73" i="18"/>
  <c r="R72" i="18"/>
  <c r="Q70" i="18"/>
  <c r="R70" i="18"/>
  <c r="R68" i="18"/>
  <c r="Q66" i="18"/>
  <c r="I65" i="18"/>
  <c r="Q62" i="18"/>
  <c r="I61" i="18"/>
  <c r="Q48" i="18"/>
  <c r="R48" i="18"/>
  <c r="R46" i="18"/>
  <c r="R44" i="18"/>
  <c r="I43" i="18"/>
  <c r="Q39" i="18"/>
  <c r="R39" i="18"/>
  <c r="R35" i="18"/>
  <c r="R21" i="18"/>
  <c r="R17" i="18"/>
  <c r="R12" i="18"/>
  <c r="R10" i="18"/>
  <c r="R8" i="18"/>
  <c r="U40" i="18" l="1"/>
  <c r="T40" i="18"/>
  <c r="V40" i="18" s="1"/>
  <c r="S25" i="18"/>
  <c r="U25" i="18" s="1"/>
  <c r="Q24" i="18"/>
  <c r="U50" i="18"/>
  <c r="T50" i="18"/>
  <c r="V50" i="18" s="1"/>
  <c r="U49" i="18"/>
  <c r="T49" i="18"/>
  <c r="V49" i="18" s="1"/>
  <c r="Q8" i="18"/>
  <c r="I10" i="18"/>
  <c r="Q10" i="18"/>
  <c r="I11" i="18"/>
  <c r="K11" i="18" s="1"/>
  <c r="L11" i="18" s="1"/>
  <c r="Q11" i="18"/>
  <c r="I12" i="18"/>
  <c r="Q12" i="18"/>
  <c r="Q15" i="18"/>
  <c r="I16" i="18"/>
  <c r="J16" i="18" s="1"/>
  <c r="Q16" i="18"/>
  <c r="I17" i="18"/>
  <c r="K17" i="18" s="1"/>
  <c r="L17" i="18" s="1"/>
  <c r="Q17" i="18"/>
  <c r="I19" i="18"/>
  <c r="K19" i="18" s="1"/>
  <c r="Q19" i="18"/>
  <c r="I20" i="18"/>
  <c r="K20" i="18" s="1"/>
  <c r="L20" i="18" s="1"/>
  <c r="Q20" i="18"/>
  <c r="I21" i="18"/>
  <c r="K21" i="18" s="1"/>
  <c r="L21" i="18" s="1"/>
  <c r="Q21" i="18"/>
  <c r="I22" i="18"/>
  <c r="K22" i="18" s="1"/>
  <c r="I38" i="18"/>
  <c r="K38" i="18" s="1"/>
  <c r="L38" i="18" s="1"/>
  <c r="Q44" i="18"/>
  <c r="I23" i="18"/>
  <c r="J23" i="18" s="1"/>
  <c r="Q23" i="18"/>
  <c r="I24" i="18"/>
  <c r="K24" i="18" s="1"/>
  <c r="L24" i="18" s="1"/>
  <c r="I35" i="18"/>
  <c r="K35" i="18" s="1"/>
  <c r="L35" i="18" s="1"/>
  <c r="Q35" i="18"/>
  <c r="I36" i="18"/>
  <c r="J36" i="18" s="1"/>
  <c r="Q36" i="18"/>
  <c r="I37" i="18"/>
  <c r="K37" i="18" s="1"/>
  <c r="L37" i="18" s="1"/>
  <c r="Q37" i="18"/>
  <c r="Q38" i="18"/>
  <c r="I41" i="18"/>
  <c r="K41" i="18" s="1"/>
  <c r="Q41" i="18"/>
  <c r="I42" i="18"/>
  <c r="J42" i="18" s="1"/>
  <c r="Q42" i="18"/>
  <c r="Q43" i="18"/>
  <c r="I45" i="18"/>
  <c r="K45" i="18" s="1"/>
  <c r="L45" i="18" s="1"/>
  <c r="Q45" i="18"/>
  <c r="I46" i="18"/>
  <c r="J46" i="18" s="1"/>
  <c r="Q46" i="18"/>
  <c r="Q47" i="18"/>
  <c r="I59" i="18"/>
  <c r="K59" i="18" s="1"/>
  <c r="L59" i="18" s="1"/>
  <c r="Q59" i="18"/>
  <c r="I60" i="18"/>
  <c r="J60" i="18" s="1"/>
  <c r="Q60" i="18"/>
  <c r="Q61" i="18"/>
  <c r="I62" i="18"/>
  <c r="K62" i="18" s="1"/>
  <c r="I63" i="18"/>
  <c r="K63" i="18" s="1"/>
  <c r="L63" i="18" s="1"/>
  <c r="Q63" i="18"/>
  <c r="I64" i="18"/>
  <c r="K64" i="18" s="1"/>
  <c r="Q64" i="18"/>
  <c r="Q65" i="18"/>
  <c r="I66" i="18"/>
  <c r="K66" i="18" s="1"/>
  <c r="L66" i="18" s="1"/>
  <c r="I67" i="18"/>
  <c r="K67" i="18" s="1"/>
  <c r="L67" i="18" s="1"/>
  <c r="Q67" i="18"/>
  <c r="I68" i="18"/>
  <c r="K68" i="18" s="1"/>
  <c r="L68" i="18" s="1"/>
  <c r="Q68" i="18"/>
  <c r="Q69" i="18"/>
  <c r="I70" i="18"/>
  <c r="K70" i="18" s="1"/>
  <c r="I71" i="18"/>
  <c r="K71" i="18" s="1"/>
  <c r="L71" i="18" s="1"/>
  <c r="Q71" i="18"/>
  <c r="I72" i="18"/>
  <c r="K72" i="18" s="1"/>
  <c r="Q72" i="18"/>
  <c r="Q73" i="18"/>
  <c r="I74" i="18"/>
  <c r="J74" i="18" s="1"/>
  <c r="I9" i="18"/>
  <c r="J9" i="18" s="1"/>
  <c r="I13" i="18"/>
  <c r="J13" i="18" s="1"/>
  <c r="I8" i="18"/>
  <c r="K8" i="18" s="1"/>
  <c r="I18" i="18"/>
  <c r="J18" i="18" s="1"/>
  <c r="Q9" i="18"/>
  <c r="Q13" i="18"/>
  <c r="Q18" i="18"/>
  <c r="Q22" i="18"/>
  <c r="I39" i="18"/>
  <c r="J39" i="18" s="1"/>
  <c r="I44" i="18"/>
  <c r="J44" i="18" s="1"/>
  <c r="I48" i="18"/>
  <c r="K48" i="18" s="1"/>
  <c r="Q36" i="20"/>
  <c r="P36" i="20"/>
  <c r="R36" i="20" s="1"/>
  <c r="Q40" i="20"/>
  <c r="P40" i="20"/>
  <c r="R40" i="20" s="1"/>
  <c r="Q17" i="20"/>
  <c r="P17" i="20"/>
  <c r="R17" i="20" s="1"/>
  <c r="Q37" i="20"/>
  <c r="P37" i="20"/>
  <c r="R37" i="20" s="1"/>
  <c r="Q32" i="20"/>
  <c r="P32" i="20"/>
  <c r="R32" i="20" s="1"/>
  <c r="Q39" i="20"/>
  <c r="P39" i="20"/>
  <c r="R39" i="20" s="1"/>
  <c r="Q13" i="20"/>
  <c r="P13" i="20"/>
  <c r="R13" i="20" s="1"/>
  <c r="Q38" i="20"/>
  <c r="P38" i="20"/>
  <c r="R38" i="20" s="1"/>
  <c r="K10" i="18"/>
  <c r="L10" i="18" s="1"/>
  <c r="J10" i="18"/>
  <c r="K15" i="18"/>
  <c r="L15" i="18" s="1"/>
  <c r="J15" i="18"/>
  <c r="K23" i="18"/>
  <c r="L23" i="18" s="1"/>
  <c r="K12" i="18"/>
  <c r="L12" i="18" s="1"/>
  <c r="J12" i="18"/>
  <c r="K16" i="18"/>
  <c r="L16" i="18" s="1"/>
  <c r="Q34" i="18"/>
  <c r="K43" i="18"/>
  <c r="L43" i="18" s="1"/>
  <c r="J43" i="18"/>
  <c r="K47" i="18"/>
  <c r="L47" i="18" s="1"/>
  <c r="J47" i="18"/>
  <c r="K61" i="18"/>
  <c r="L61" i="18" s="1"/>
  <c r="J61" i="18"/>
  <c r="K65" i="18"/>
  <c r="L65" i="18" s="1"/>
  <c r="J65" i="18"/>
  <c r="J67" i="18"/>
  <c r="K69" i="18"/>
  <c r="L69" i="18" s="1"/>
  <c r="J69" i="18"/>
  <c r="K73" i="18"/>
  <c r="L73" i="18" s="1"/>
  <c r="J73" i="18"/>
  <c r="I34" i="18"/>
  <c r="J35" i="18"/>
  <c r="J37" i="18"/>
  <c r="K42" i="18"/>
  <c r="L42" i="18" s="1"/>
  <c r="S72" i="14"/>
  <c r="T72" i="14" s="1"/>
  <c r="S71" i="14"/>
  <c r="T71" i="14" s="1"/>
  <c r="S70" i="14"/>
  <c r="T70" i="14" s="1"/>
  <c r="S69" i="14"/>
  <c r="T69" i="14" s="1"/>
  <c r="S68" i="14"/>
  <c r="T68" i="14" s="1"/>
  <c r="S67" i="14"/>
  <c r="T67" i="14" s="1"/>
  <c r="S66" i="14"/>
  <c r="T66" i="14" s="1"/>
  <c r="S65" i="14"/>
  <c r="T65" i="14" s="1"/>
  <c r="S64" i="14"/>
  <c r="T64" i="14" s="1"/>
  <c r="S63" i="14"/>
  <c r="T63" i="14" s="1"/>
  <c r="S62" i="14"/>
  <c r="T62" i="14" s="1"/>
  <c r="S61" i="14"/>
  <c r="T61" i="14" s="1"/>
  <c r="S60" i="14"/>
  <c r="T60" i="14" s="1"/>
  <c r="S59" i="14"/>
  <c r="T59" i="14" s="1"/>
  <c r="S58" i="14"/>
  <c r="T58" i="14" s="1"/>
  <c r="S57" i="14"/>
  <c r="T57" i="14" s="1"/>
  <c r="S48" i="14"/>
  <c r="T48" i="14" s="1"/>
  <c r="T47" i="14"/>
  <c r="S47" i="14"/>
  <c r="S46" i="14"/>
  <c r="T46" i="14" s="1"/>
  <c r="T45" i="14"/>
  <c r="S45" i="14"/>
  <c r="S44" i="14"/>
  <c r="T44" i="14" s="1"/>
  <c r="T43" i="14"/>
  <c r="S43" i="14"/>
  <c r="S42" i="14"/>
  <c r="T42" i="14" s="1"/>
  <c r="T41" i="14"/>
  <c r="S41" i="14"/>
  <c r="S40" i="14"/>
  <c r="T40" i="14" s="1"/>
  <c r="T39" i="14"/>
  <c r="S39" i="14"/>
  <c r="S38" i="14"/>
  <c r="T38" i="14" s="1"/>
  <c r="T37" i="14"/>
  <c r="S37" i="14"/>
  <c r="S36" i="14"/>
  <c r="T36" i="14" s="1"/>
  <c r="T35" i="14"/>
  <c r="S35" i="14"/>
  <c r="S34" i="14"/>
  <c r="T34" i="14" s="1"/>
  <c r="T33" i="14"/>
  <c r="S33" i="14"/>
  <c r="S9" i="14"/>
  <c r="T9" i="14" s="1"/>
  <c r="S10" i="14"/>
  <c r="T10" i="14" s="1"/>
  <c r="S11" i="14"/>
  <c r="T11" i="14" s="1"/>
  <c r="S12" i="14"/>
  <c r="T12" i="14" s="1"/>
  <c r="S13" i="14"/>
  <c r="T13" i="14" s="1"/>
  <c r="S14" i="14"/>
  <c r="T14" i="14" s="1"/>
  <c r="S15" i="14"/>
  <c r="T15" i="14" s="1"/>
  <c r="S16" i="14"/>
  <c r="T16" i="14" s="1"/>
  <c r="S17" i="14"/>
  <c r="T17" i="14" s="1"/>
  <c r="S18" i="14"/>
  <c r="T18" i="14" s="1"/>
  <c r="S19" i="14"/>
  <c r="T19" i="14" s="1"/>
  <c r="S20" i="14"/>
  <c r="T20" i="14" s="1"/>
  <c r="S21" i="14"/>
  <c r="T21" i="14" s="1"/>
  <c r="S22" i="14"/>
  <c r="T22" i="14"/>
  <c r="S23" i="14"/>
  <c r="T23" i="14" s="1"/>
  <c r="S24" i="14"/>
  <c r="T24" i="14"/>
  <c r="S8" i="14"/>
  <c r="T8" i="14" s="1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8" i="14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K69" i="16"/>
  <c r="J69" i="16"/>
  <c r="K68" i="16"/>
  <c r="J68" i="16"/>
  <c r="K67" i="16"/>
  <c r="J67" i="16"/>
  <c r="K66" i="16"/>
  <c r="J66" i="16"/>
  <c r="K65" i="16"/>
  <c r="J65" i="16"/>
  <c r="K64" i="16"/>
  <c r="J64" i="16"/>
  <c r="K63" i="16"/>
  <c r="J63" i="16"/>
  <c r="K62" i="16"/>
  <c r="J62" i="16"/>
  <c r="K61" i="16"/>
  <c r="J61" i="16"/>
  <c r="K60" i="16"/>
  <c r="J60" i="16"/>
  <c r="K59" i="16"/>
  <c r="J59" i="16"/>
  <c r="K58" i="16"/>
  <c r="J58" i="16"/>
  <c r="K57" i="16"/>
  <c r="J57" i="16"/>
  <c r="K56" i="16"/>
  <c r="J56" i="16"/>
  <c r="K55" i="16"/>
  <c r="J55" i="16"/>
  <c r="K54" i="16"/>
  <c r="J54" i="16"/>
  <c r="S69" i="16"/>
  <c r="T69" i="16" s="1"/>
  <c r="S68" i="16"/>
  <c r="T68" i="16" s="1"/>
  <c r="S67" i="16"/>
  <c r="T67" i="16" s="1"/>
  <c r="S66" i="16"/>
  <c r="T66" i="16" s="1"/>
  <c r="T65" i="16"/>
  <c r="S65" i="16"/>
  <c r="S64" i="16"/>
  <c r="T64" i="16" s="1"/>
  <c r="S63" i="16"/>
  <c r="T63" i="16" s="1"/>
  <c r="S62" i="16"/>
  <c r="T62" i="16" s="1"/>
  <c r="S61" i="16"/>
  <c r="T61" i="16" s="1"/>
  <c r="S60" i="16"/>
  <c r="T60" i="16" s="1"/>
  <c r="S59" i="16"/>
  <c r="T59" i="16" s="1"/>
  <c r="S58" i="16"/>
  <c r="T58" i="16" s="1"/>
  <c r="S57" i="16"/>
  <c r="T57" i="16" s="1"/>
  <c r="S56" i="16"/>
  <c r="T56" i="16" s="1"/>
  <c r="S55" i="16"/>
  <c r="T55" i="16" s="1"/>
  <c r="S54" i="16"/>
  <c r="T54" i="16" s="1"/>
  <c r="S10" i="16"/>
  <c r="T10" i="16" s="1"/>
  <c r="S11" i="16"/>
  <c r="T11" i="16" s="1"/>
  <c r="S12" i="16"/>
  <c r="T12" i="16" s="1"/>
  <c r="S13" i="16"/>
  <c r="T13" i="16" s="1"/>
  <c r="S14" i="16"/>
  <c r="T14" i="16" s="1"/>
  <c r="S15" i="16"/>
  <c r="T15" i="16" s="1"/>
  <c r="S16" i="16"/>
  <c r="T16" i="16" s="1"/>
  <c r="S17" i="16"/>
  <c r="T17" i="16"/>
  <c r="S18" i="16"/>
  <c r="T18" i="16" s="1"/>
  <c r="S19" i="16"/>
  <c r="T19" i="16"/>
  <c r="S20" i="16"/>
  <c r="T20" i="16" s="1"/>
  <c r="S21" i="16"/>
  <c r="T21" i="16"/>
  <c r="S22" i="16"/>
  <c r="T22" i="16" s="1"/>
  <c r="S23" i="16"/>
  <c r="T23" i="16"/>
  <c r="S9" i="16"/>
  <c r="T9" i="16" s="1"/>
  <c r="S8" i="16"/>
  <c r="T8" i="16" s="1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8" i="16"/>
  <c r="J62" i="18" l="1"/>
  <c r="J17" i="18"/>
  <c r="K46" i="18"/>
  <c r="L46" i="18" s="1"/>
  <c r="K36" i="18"/>
  <c r="L36" i="18" s="1"/>
  <c r="J59" i="18"/>
  <c r="L19" i="18"/>
  <c r="S19" i="18"/>
  <c r="U19" i="18" s="1"/>
  <c r="J45" i="18"/>
  <c r="K74" i="18"/>
  <c r="L74" i="18" s="1"/>
  <c r="J21" i="18"/>
  <c r="J19" i="18"/>
  <c r="K18" i="18"/>
  <c r="L18" i="18" s="1"/>
  <c r="T25" i="18"/>
  <c r="V25" i="18" s="1"/>
  <c r="J66" i="18"/>
  <c r="J72" i="18"/>
  <c r="J24" i="18"/>
  <c r="S23" i="18"/>
  <c r="U23" i="18" s="1"/>
  <c r="J71" i="18"/>
  <c r="S15" i="18"/>
  <c r="U15" i="18" s="1"/>
  <c r="J11" i="18"/>
  <c r="J38" i="18"/>
  <c r="J63" i="18"/>
  <c r="K44" i="18"/>
  <c r="J70" i="18"/>
  <c r="J20" i="18"/>
  <c r="S12" i="18"/>
  <c r="U12" i="18" s="1"/>
  <c r="S10" i="18"/>
  <c r="U10" i="18" s="1"/>
  <c r="K9" i="18"/>
  <c r="L9" i="18" s="1"/>
  <c r="L41" i="18"/>
  <c r="S41" i="18"/>
  <c r="U41" i="18" s="1"/>
  <c r="L22" i="18"/>
  <c r="S22" i="18"/>
  <c r="U22" i="18" s="1"/>
  <c r="S45" i="18"/>
  <c r="U45" i="18" s="1"/>
  <c r="J41" i="18"/>
  <c r="J48" i="18"/>
  <c r="J68" i="18"/>
  <c r="K60" i="18"/>
  <c r="L60" i="18" s="1"/>
  <c r="K13" i="18"/>
  <c r="L13" i="18" s="1"/>
  <c r="J22" i="18"/>
  <c r="S9" i="18"/>
  <c r="U9" i="18" s="1"/>
  <c r="L62" i="18"/>
  <c r="S62" i="18"/>
  <c r="U62" i="18" s="1"/>
  <c r="J64" i="18"/>
  <c r="K39" i="18"/>
  <c r="L39" i="18" s="1"/>
  <c r="L70" i="18"/>
  <c r="S70" i="18"/>
  <c r="U70" i="18" s="1"/>
  <c r="L72" i="18"/>
  <c r="S72" i="18"/>
  <c r="U72" i="18" s="1"/>
  <c r="L64" i="18"/>
  <c r="S64" i="18"/>
  <c r="U64" i="18" s="1"/>
  <c r="T19" i="18"/>
  <c r="V19" i="18" s="1"/>
  <c r="L48" i="18"/>
  <c r="S48" i="18"/>
  <c r="U48" i="18" s="1"/>
  <c r="L8" i="18"/>
  <c r="S8" i="18"/>
  <c r="U8" i="18" s="1"/>
  <c r="T15" i="18"/>
  <c r="V15" i="18" s="1"/>
  <c r="S74" i="18"/>
  <c r="S66" i="18"/>
  <c r="U66" i="18" s="1"/>
  <c r="T23" i="18"/>
  <c r="V23" i="18" s="1"/>
  <c r="S24" i="18"/>
  <c r="J8" i="18"/>
  <c r="S47" i="18"/>
  <c r="U47" i="18" s="1"/>
  <c r="S38" i="18"/>
  <c r="U38" i="18" s="1"/>
  <c r="S21" i="18"/>
  <c r="U21" i="18" s="1"/>
  <c r="S16" i="18"/>
  <c r="S68" i="18"/>
  <c r="U68" i="18" s="1"/>
  <c r="S60" i="18"/>
  <c r="U60" i="18" s="1"/>
  <c r="S17" i="18"/>
  <c r="U17" i="18" s="1"/>
  <c r="T10" i="18"/>
  <c r="V10" i="18" s="1"/>
  <c r="S73" i="18"/>
  <c r="S71" i="18"/>
  <c r="S69" i="18"/>
  <c r="S67" i="18"/>
  <c r="S65" i="18"/>
  <c r="S63" i="18"/>
  <c r="S61" i="18"/>
  <c r="S59" i="18"/>
  <c r="S42" i="18"/>
  <c r="T21" i="18"/>
  <c r="V21" i="18" s="1"/>
  <c r="T12" i="18"/>
  <c r="V12" i="18" s="1"/>
  <c r="S20" i="18"/>
  <c r="S11" i="18"/>
  <c r="K34" i="18"/>
  <c r="L34" i="18" s="1"/>
  <c r="J34" i="18"/>
  <c r="T70" i="18"/>
  <c r="V70" i="18" s="1"/>
  <c r="S43" i="18"/>
  <c r="S46" i="18"/>
  <c r="S37" i="18"/>
  <c r="S35" i="18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57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33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8" i="14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54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32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8" i="16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8" i="14"/>
  <c r="F8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54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57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33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8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57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8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57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33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54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32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8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S36" i="18" l="1"/>
  <c r="U36" i="18" s="1"/>
  <c r="S18" i="18"/>
  <c r="T41" i="18"/>
  <c r="V41" i="18" s="1"/>
  <c r="S39" i="18"/>
  <c r="U39" i="18" s="1"/>
  <c r="T64" i="18"/>
  <c r="V64" i="18" s="1"/>
  <c r="L44" i="18"/>
  <c r="S44" i="18"/>
  <c r="T45" i="18"/>
  <c r="V45" i="18" s="1"/>
  <c r="T8" i="18"/>
  <c r="V8" i="18" s="1"/>
  <c r="S13" i="18"/>
  <c r="T9" i="18"/>
  <c r="V9" i="18" s="1"/>
  <c r="T22" i="18"/>
  <c r="V22" i="18" s="1"/>
  <c r="T38" i="18"/>
  <c r="V38" i="18" s="1"/>
  <c r="T60" i="18"/>
  <c r="V60" i="18" s="1"/>
  <c r="T62" i="18"/>
  <c r="V62" i="18" s="1"/>
  <c r="T47" i="18"/>
  <c r="V47" i="18" s="1"/>
  <c r="T72" i="18"/>
  <c r="V72" i="18" s="1"/>
  <c r="U18" i="18"/>
  <c r="T18" i="18"/>
  <c r="V18" i="18" s="1"/>
  <c r="T66" i="18"/>
  <c r="V66" i="18" s="1"/>
  <c r="T36" i="18"/>
  <c r="V36" i="18" s="1"/>
  <c r="T17" i="18"/>
  <c r="V17" i="18" s="1"/>
  <c r="T48" i="18"/>
  <c r="V48" i="18" s="1"/>
  <c r="T74" i="18"/>
  <c r="V74" i="18" s="1"/>
  <c r="U74" i="18"/>
  <c r="S34" i="18"/>
  <c r="U34" i="18" s="1"/>
  <c r="U24" i="18"/>
  <c r="T24" i="18"/>
  <c r="V24" i="18" s="1"/>
  <c r="U16" i="18"/>
  <c r="T16" i="18"/>
  <c r="V16" i="18" s="1"/>
  <c r="T68" i="18"/>
  <c r="V68" i="18" s="1"/>
  <c r="U20" i="18"/>
  <c r="T20" i="18"/>
  <c r="V20" i="18" s="1"/>
  <c r="U59" i="18"/>
  <c r="T59" i="18"/>
  <c r="V59" i="18" s="1"/>
  <c r="U67" i="18"/>
  <c r="T67" i="18"/>
  <c r="V67" i="18" s="1"/>
  <c r="U35" i="18"/>
  <c r="T35" i="18"/>
  <c r="V35" i="18" s="1"/>
  <c r="U37" i="18"/>
  <c r="T37" i="18"/>
  <c r="V37" i="18" s="1"/>
  <c r="U61" i="18"/>
  <c r="T61" i="18"/>
  <c r="V61" i="18" s="1"/>
  <c r="U69" i="18"/>
  <c r="T69" i="18"/>
  <c r="V69" i="18" s="1"/>
  <c r="U46" i="18"/>
  <c r="T46" i="18"/>
  <c r="V46" i="18" s="1"/>
  <c r="U63" i="18"/>
  <c r="T63" i="18"/>
  <c r="V63" i="18" s="1"/>
  <c r="U71" i="18"/>
  <c r="T71" i="18"/>
  <c r="V71" i="18" s="1"/>
  <c r="U43" i="18"/>
  <c r="T43" i="18"/>
  <c r="V43" i="18" s="1"/>
  <c r="U11" i="18"/>
  <c r="T11" i="18"/>
  <c r="V11" i="18" s="1"/>
  <c r="U42" i="18"/>
  <c r="T42" i="18"/>
  <c r="V42" i="18" s="1"/>
  <c r="U65" i="18"/>
  <c r="T65" i="18"/>
  <c r="V65" i="18" s="1"/>
  <c r="U73" i="18"/>
  <c r="T73" i="18"/>
  <c r="V73" i="18" s="1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54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32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T39" i="18" l="1"/>
  <c r="V39" i="18" s="1"/>
  <c r="U44" i="18"/>
  <c r="T44" i="18"/>
  <c r="V44" i="18" s="1"/>
  <c r="U13" i="18"/>
  <c r="T13" i="18"/>
  <c r="V13" i="18" s="1"/>
  <c r="T34" i="18"/>
  <c r="V34" i="18" s="1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32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G34" i="14"/>
  <c r="G34" i="16"/>
  <c r="G35" i="16"/>
  <c r="G36" i="16"/>
  <c r="G37" i="16"/>
  <c r="G38" i="16"/>
  <c r="G39" i="16"/>
  <c r="G40" i="16"/>
  <c r="G41" i="16"/>
  <c r="G42" i="16"/>
  <c r="G43" i="16"/>
  <c r="G44" i="16"/>
  <c r="G45" i="16"/>
  <c r="G33" i="16"/>
  <c r="X69" i="16" l="1"/>
  <c r="W69" i="16"/>
  <c r="P69" i="16"/>
  <c r="O69" i="16"/>
  <c r="N69" i="16"/>
  <c r="M69" i="16"/>
  <c r="H69" i="16"/>
  <c r="I69" i="16" s="1"/>
  <c r="B69" i="16"/>
  <c r="A69" i="16"/>
  <c r="R69" i="16" s="1"/>
  <c r="X68" i="16"/>
  <c r="W68" i="16"/>
  <c r="P68" i="16"/>
  <c r="O68" i="16"/>
  <c r="N68" i="16"/>
  <c r="M68" i="16"/>
  <c r="H68" i="16"/>
  <c r="I68" i="16" s="1"/>
  <c r="B68" i="16"/>
  <c r="A68" i="16"/>
  <c r="R68" i="16" s="1"/>
  <c r="X67" i="16"/>
  <c r="W67" i="16"/>
  <c r="P67" i="16"/>
  <c r="O67" i="16"/>
  <c r="N67" i="16"/>
  <c r="M67" i="16"/>
  <c r="H67" i="16"/>
  <c r="B67" i="16"/>
  <c r="A67" i="16"/>
  <c r="R67" i="16" s="1"/>
  <c r="X66" i="16"/>
  <c r="W66" i="16"/>
  <c r="P66" i="16"/>
  <c r="O66" i="16"/>
  <c r="N66" i="16"/>
  <c r="M66" i="16"/>
  <c r="H66" i="16"/>
  <c r="B66" i="16"/>
  <c r="A66" i="16"/>
  <c r="R66" i="16" s="1"/>
  <c r="X65" i="16"/>
  <c r="W65" i="16"/>
  <c r="P65" i="16"/>
  <c r="O65" i="16"/>
  <c r="N65" i="16"/>
  <c r="M65" i="16"/>
  <c r="H65" i="16"/>
  <c r="B65" i="16"/>
  <c r="A65" i="16"/>
  <c r="R65" i="16" s="1"/>
  <c r="X64" i="16"/>
  <c r="W64" i="16"/>
  <c r="P64" i="16"/>
  <c r="O64" i="16"/>
  <c r="N64" i="16"/>
  <c r="M64" i="16"/>
  <c r="H64" i="16"/>
  <c r="I64" i="16" s="1"/>
  <c r="B64" i="16"/>
  <c r="A64" i="16"/>
  <c r="R64" i="16" s="1"/>
  <c r="X63" i="16"/>
  <c r="W63" i="16"/>
  <c r="P63" i="16"/>
  <c r="O63" i="16"/>
  <c r="N63" i="16"/>
  <c r="M63" i="16"/>
  <c r="H63" i="16"/>
  <c r="B63" i="16"/>
  <c r="A63" i="16"/>
  <c r="R63" i="16" s="1"/>
  <c r="X62" i="16"/>
  <c r="W62" i="16"/>
  <c r="P62" i="16"/>
  <c r="O62" i="16"/>
  <c r="N62" i="16"/>
  <c r="M62" i="16"/>
  <c r="H62" i="16"/>
  <c r="B62" i="16"/>
  <c r="A62" i="16"/>
  <c r="R62" i="16" s="1"/>
  <c r="X61" i="16"/>
  <c r="W61" i="16"/>
  <c r="P61" i="16"/>
  <c r="O61" i="16"/>
  <c r="N61" i="16"/>
  <c r="M61" i="16"/>
  <c r="H61" i="16"/>
  <c r="I61" i="16" s="1"/>
  <c r="B61" i="16"/>
  <c r="A61" i="16"/>
  <c r="R61" i="16" s="1"/>
  <c r="X60" i="16"/>
  <c r="W60" i="16"/>
  <c r="P60" i="16"/>
  <c r="O60" i="16"/>
  <c r="N60" i="16"/>
  <c r="M60" i="16"/>
  <c r="H60" i="16"/>
  <c r="B60" i="16"/>
  <c r="A60" i="16"/>
  <c r="R60" i="16" s="1"/>
  <c r="X59" i="16"/>
  <c r="W59" i="16"/>
  <c r="P59" i="16"/>
  <c r="O59" i="16"/>
  <c r="N59" i="16"/>
  <c r="M59" i="16"/>
  <c r="H59" i="16"/>
  <c r="I59" i="16" s="1"/>
  <c r="B59" i="16"/>
  <c r="A59" i="16"/>
  <c r="R59" i="16" s="1"/>
  <c r="X58" i="16"/>
  <c r="W58" i="16"/>
  <c r="P58" i="16"/>
  <c r="O58" i="16"/>
  <c r="N58" i="16"/>
  <c r="M58" i="16"/>
  <c r="H58" i="16"/>
  <c r="B58" i="16"/>
  <c r="A58" i="16"/>
  <c r="R58" i="16" s="1"/>
  <c r="X57" i="16"/>
  <c r="W57" i="16"/>
  <c r="P57" i="16"/>
  <c r="O57" i="16"/>
  <c r="N57" i="16"/>
  <c r="M57" i="16"/>
  <c r="H57" i="16"/>
  <c r="B57" i="16"/>
  <c r="A57" i="16"/>
  <c r="R57" i="16" s="1"/>
  <c r="X56" i="16"/>
  <c r="W56" i="16"/>
  <c r="P56" i="16"/>
  <c r="O56" i="16"/>
  <c r="N56" i="16"/>
  <c r="M56" i="16"/>
  <c r="H56" i="16"/>
  <c r="B56" i="16"/>
  <c r="A56" i="16"/>
  <c r="R56" i="16" s="1"/>
  <c r="X55" i="16"/>
  <c r="W55" i="16"/>
  <c r="P55" i="16"/>
  <c r="O55" i="16"/>
  <c r="N55" i="16"/>
  <c r="M55" i="16"/>
  <c r="H55" i="16"/>
  <c r="B55" i="16"/>
  <c r="A55" i="16"/>
  <c r="R55" i="16" s="1"/>
  <c r="X54" i="16"/>
  <c r="W54" i="16"/>
  <c r="P54" i="16"/>
  <c r="O54" i="16"/>
  <c r="N54" i="16"/>
  <c r="M54" i="16"/>
  <c r="H54" i="16"/>
  <c r="B54" i="16"/>
  <c r="A54" i="16"/>
  <c r="R54" i="16" s="1"/>
  <c r="P45" i="16"/>
  <c r="O45" i="16"/>
  <c r="N45" i="16"/>
  <c r="M45" i="16"/>
  <c r="B45" i="16"/>
  <c r="A45" i="16"/>
  <c r="R45" i="16" s="1"/>
  <c r="P44" i="16"/>
  <c r="O44" i="16"/>
  <c r="N44" i="16"/>
  <c r="M44" i="16"/>
  <c r="B44" i="16"/>
  <c r="A44" i="16"/>
  <c r="R44" i="16" s="1"/>
  <c r="P43" i="16"/>
  <c r="O43" i="16"/>
  <c r="N43" i="16"/>
  <c r="M43" i="16"/>
  <c r="B43" i="16"/>
  <c r="A43" i="16"/>
  <c r="R43" i="16" s="1"/>
  <c r="P42" i="16"/>
  <c r="O42" i="16"/>
  <c r="N42" i="16"/>
  <c r="M42" i="16"/>
  <c r="B42" i="16"/>
  <c r="A42" i="16"/>
  <c r="R42" i="16" s="1"/>
  <c r="P41" i="16"/>
  <c r="O41" i="16"/>
  <c r="N41" i="16"/>
  <c r="M41" i="16"/>
  <c r="B41" i="16"/>
  <c r="A41" i="16"/>
  <c r="R41" i="16" s="1"/>
  <c r="P40" i="16"/>
  <c r="O40" i="16"/>
  <c r="N40" i="16"/>
  <c r="M40" i="16"/>
  <c r="B40" i="16"/>
  <c r="A40" i="16"/>
  <c r="R40" i="16" s="1"/>
  <c r="P39" i="16"/>
  <c r="O39" i="16"/>
  <c r="N39" i="16"/>
  <c r="M39" i="16"/>
  <c r="B39" i="16"/>
  <c r="A39" i="16"/>
  <c r="R39" i="16" s="1"/>
  <c r="P38" i="16"/>
  <c r="O38" i="16"/>
  <c r="N38" i="16"/>
  <c r="M38" i="16"/>
  <c r="B38" i="16"/>
  <c r="A38" i="16"/>
  <c r="R38" i="16" s="1"/>
  <c r="P37" i="16"/>
  <c r="O37" i="16"/>
  <c r="N37" i="16"/>
  <c r="M37" i="16"/>
  <c r="B37" i="16"/>
  <c r="A37" i="16"/>
  <c r="R37" i="16" s="1"/>
  <c r="P36" i="16"/>
  <c r="O36" i="16"/>
  <c r="N36" i="16"/>
  <c r="M36" i="16"/>
  <c r="B36" i="16"/>
  <c r="A36" i="16"/>
  <c r="R36" i="16" s="1"/>
  <c r="P35" i="16"/>
  <c r="O35" i="16"/>
  <c r="N35" i="16"/>
  <c r="M35" i="16"/>
  <c r="B35" i="16"/>
  <c r="A35" i="16"/>
  <c r="R35" i="16" s="1"/>
  <c r="P34" i="16"/>
  <c r="O34" i="16"/>
  <c r="N34" i="16"/>
  <c r="M34" i="16"/>
  <c r="B34" i="16"/>
  <c r="A34" i="16"/>
  <c r="R34" i="16" s="1"/>
  <c r="P33" i="16"/>
  <c r="O33" i="16"/>
  <c r="N33" i="16"/>
  <c r="M33" i="16"/>
  <c r="H33" i="16"/>
  <c r="B33" i="16"/>
  <c r="A33" i="16"/>
  <c r="R33" i="16" s="1"/>
  <c r="P32" i="16"/>
  <c r="O32" i="16"/>
  <c r="N32" i="16"/>
  <c r="M32" i="16"/>
  <c r="G32" i="16"/>
  <c r="B32" i="16"/>
  <c r="A32" i="16"/>
  <c r="R32" i="16" s="1"/>
  <c r="P23" i="16"/>
  <c r="O23" i="16"/>
  <c r="N23" i="16"/>
  <c r="M23" i="16"/>
  <c r="B23" i="16"/>
  <c r="A23" i="16"/>
  <c r="R23" i="16" s="1"/>
  <c r="P22" i="16"/>
  <c r="O22" i="16"/>
  <c r="N22" i="16"/>
  <c r="M22" i="16"/>
  <c r="B22" i="16"/>
  <c r="A22" i="16"/>
  <c r="R22" i="16" s="1"/>
  <c r="P21" i="16"/>
  <c r="O21" i="16"/>
  <c r="N21" i="16"/>
  <c r="M21" i="16"/>
  <c r="B21" i="16"/>
  <c r="A21" i="16"/>
  <c r="R21" i="16" s="1"/>
  <c r="P20" i="16"/>
  <c r="O20" i="16"/>
  <c r="N20" i="16"/>
  <c r="M20" i="16"/>
  <c r="B20" i="16"/>
  <c r="A20" i="16"/>
  <c r="R20" i="16" s="1"/>
  <c r="P19" i="16"/>
  <c r="O19" i="16"/>
  <c r="N19" i="16"/>
  <c r="M19" i="16"/>
  <c r="B19" i="16"/>
  <c r="A19" i="16"/>
  <c r="R19" i="16" s="1"/>
  <c r="P18" i="16"/>
  <c r="O18" i="16"/>
  <c r="N18" i="16"/>
  <c r="M18" i="16"/>
  <c r="B18" i="16"/>
  <c r="A18" i="16"/>
  <c r="R18" i="16" s="1"/>
  <c r="P17" i="16"/>
  <c r="O17" i="16"/>
  <c r="N17" i="16"/>
  <c r="M17" i="16"/>
  <c r="B17" i="16"/>
  <c r="A17" i="16"/>
  <c r="R17" i="16" s="1"/>
  <c r="P16" i="16"/>
  <c r="O16" i="16"/>
  <c r="N16" i="16"/>
  <c r="M16" i="16"/>
  <c r="B16" i="16"/>
  <c r="A16" i="16"/>
  <c r="R16" i="16" s="1"/>
  <c r="P15" i="16"/>
  <c r="O15" i="16"/>
  <c r="N15" i="16"/>
  <c r="M15" i="16"/>
  <c r="B15" i="16"/>
  <c r="A15" i="16"/>
  <c r="R15" i="16" s="1"/>
  <c r="P14" i="16"/>
  <c r="O14" i="16"/>
  <c r="N14" i="16"/>
  <c r="M14" i="16"/>
  <c r="B14" i="16"/>
  <c r="A14" i="16"/>
  <c r="R14" i="16" s="1"/>
  <c r="P13" i="16"/>
  <c r="O13" i="16"/>
  <c r="N13" i="16"/>
  <c r="M13" i="16"/>
  <c r="B13" i="16"/>
  <c r="A13" i="16"/>
  <c r="R13" i="16" s="1"/>
  <c r="P12" i="16"/>
  <c r="O12" i="16"/>
  <c r="N12" i="16"/>
  <c r="M12" i="16"/>
  <c r="B12" i="16"/>
  <c r="A12" i="16"/>
  <c r="R12" i="16" s="1"/>
  <c r="P11" i="16"/>
  <c r="O11" i="16"/>
  <c r="N11" i="16"/>
  <c r="M11" i="16"/>
  <c r="B11" i="16"/>
  <c r="A11" i="16"/>
  <c r="R11" i="16" s="1"/>
  <c r="P10" i="16"/>
  <c r="O10" i="16"/>
  <c r="N10" i="16"/>
  <c r="M10" i="16"/>
  <c r="B10" i="16"/>
  <c r="A10" i="16"/>
  <c r="R10" i="16" s="1"/>
  <c r="P9" i="16"/>
  <c r="O9" i="16"/>
  <c r="N9" i="16"/>
  <c r="M9" i="16"/>
  <c r="B9" i="16"/>
  <c r="A9" i="16"/>
  <c r="R9" i="16" s="1"/>
  <c r="X8" i="16"/>
  <c r="W8" i="16"/>
  <c r="P8" i="16"/>
  <c r="O8" i="16"/>
  <c r="N8" i="16"/>
  <c r="M8" i="16"/>
  <c r="B8" i="16"/>
  <c r="A8" i="16"/>
  <c r="R8" i="16" s="1"/>
  <c r="Q33" i="16" l="1"/>
  <c r="Q35" i="16"/>
  <c r="Q37" i="16"/>
  <c r="Q39" i="16"/>
  <c r="Q41" i="16"/>
  <c r="Q43" i="16"/>
  <c r="Q45" i="16"/>
  <c r="Q55" i="16"/>
  <c r="Q59" i="16"/>
  <c r="Q63" i="16"/>
  <c r="Q67" i="16"/>
  <c r="Q60" i="16"/>
  <c r="Q40" i="16"/>
  <c r="Q42" i="16"/>
  <c r="Q44" i="16"/>
  <c r="Q57" i="16"/>
  <c r="Q61" i="16"/>
  <c r="Q65" i="16"/>
  <c r="Q69" i="16"/>
  <c r="V69" i="16" s="1"/>
  <c r="Q56" i="16"/>
  <c r="Q64" i="16"/>
  <c r="Q68" i="16"/>
  <c r="Q54" i="16"/>
  <c r="Q58" i="16"/>
  <c r="Q62" i="16"/>
  <c r="Q66" i="16"/>
  <c r="Q32" i="16"/>
  <c r="Q34" i="16"/>
  <c r="Q36" i="16"/>
  <c r="Q38" i="16"/>
  <c r="Q14" i="16"/>
  <c r="Q10" i="16"/>
  <c r="Q12" i="16"/>
  <c r="Q20" i="16"/>
  <c r="Q22" i="16"/>
  <c r="Q16" i="16"/>
  <c r="Q18" i="16"/>
  <c r="Q8" i="16"/>
  <c r="Q9" i="16"/>
  <c r="Q11" i="16"/>
  <c r="Q13" i="16"/>
  <c r="Q15" i="16"/>
  <c r="Q17" i="16"/>
  <c r="Q19" i="16"/>
  <c r="Q21" i="16"/>
  <c r="Q23" i="16"/>
  <c r="I56" i="16"/>
  <c r="I57" i="16"/>
  <c r="I60" i="16"/>
  <c r="I54" i="16"/>
  <c r="I62" i="16"/>
  <c r="I65" i="16"/>
  <c r="I66" i="16"/>
  <c r="I67" i="16"/>
  <c r="I21" i="16"/>
  <c r="I35" i="16"/>
  <c r="I36" i="16"/>
  <c r="I38" i="16"/>
  <c r="I40" i="16"/>
  <c r="I42" i="16"/>
  <c r="I43" i="16"/>
  <c r="I34" i="16"/>
  <c r="I13" i="16"/>
  <c r="I17" i="16"/>
  <c r="I55" i="16"/>
  <c r="I10" i="16"/>
  <c r="I12" i="16"/>
  <c r="I15" i="16"/>
  <c r="I16" i="16"/>
  <c r="I19" i="16"/>
  <c r="I20" i="16"/>
  <c r="I23" i="16"/>
  <c r="I41" i="16"/>
  <c r="I33" i="16"/>
  <c r="I9" i="16"/>
  <c r="I8" i="16"/>
  <c r="I39" i="16"/>
  <c r="I11" i="16"/>
  <c r="I18" i="16"/>
  <c r="I32" i="16"/>
  <c r="I63" i="16"/>
  <c r="I37" i="16"/>
  <c r="I44" i="16"/>
  <c r="I45" i="16"/>
  <c r="I14" i="16"/>
  <c r="I22" i="16"/>
  <c r="I58" i="16"/>
  <c r="K18" i="16" l="1"/>
  <c r="J18" i="16"/>
  <c r="K9" i="16"/>
  <c r="J9" i="16"/>
  <c r="K12" i="16"/>
  <c r="J12" i="16"/>
  <c r="K13" i="16"/>
  <c r="J13" i="16"/>
  <c r="K21" i="16"/>
  <c r="J21" i="16"/>
  <c r="U9" i="16"/>
  <c r="U14" i="16"/>
  <c r="U69" i="16"/>
  <c r="K14" i="16"/>
  <c r="J14" i="16"/>
  <c r="K39" i="16"/>
  <c r="J39" i="16"/>
  <c r="K41" i="16"/>
  <c r="J41" i="16"/>
  <c r="K16" i="16"/>
  <c r="J16" i="16"/>
  <c r="K43" i="16"/>
  <c r="J43" i="16"/>
  <c r="K36" i="16"/>
  <c r="J36" i="16"/>
  <c r="U21" i="16"/>
  <c r="V21" i="16"/>
  <c r="U13" i="16"/>
  <c r="U18" i="16"/>
  <c r="U12" i="16"/>
  <c r="U62" i="16"/>
  <c r="U64" i="16"/>
  <c r="U61" i="16"/>
  <c r="U55" i="16"/>
  <c r="K45" i="16"/>
  <c r="J45" i="16"/>
  <c r="K32" i="16"/>
  <c r="J32" i="16"/>
  <c r="K8" i="16"/>
  <c r="J8" i="16"/>
  <c r="K23" i="16"/>
  <c r="J23" i="16"/>
  <c r="K15" i="16"/>
  <c r="J15" i="16"/>
  <c r="K17" i="16"/>
  <c r="J17" i="16"/>
  <c r="K42" i="16"/>
  <c r="J42" i="16"/>
  <c r="K35" i="16"/>
  <c r="J35" i="16"/>
  <c r="U16" i="16"/>
  <c r="U58" i="16"/>
  <c r="U57" i="16"/>
  <c r="U60" i="16"/>
  <c r="K44" i="16"/>
  <c r="J44" i="16"/>
  <c r="K20" i="16"/>
  <c r="J20" i="16"/>
  <c r="K40" i="16"/>
  <c r="J40" i="16"/>
  <c r="U63" i="16"/>
  <c r="K22" i="16"/>
  <c r="J22" i="16"/>
  <c r="K37" i="16"/>
  <c r="J37" i="16"/>
  <c r="K11" i="16"/>
  <c r="J11" i="16"/>
  <c r="K33" i="16"/>
  <c r="J33" i="16"/>
  <c r="K19" i="16"/>
  <c r="J19" i="16"/>
  <c r="K10" i="16"/>
  <c r="J10" i="16"/>
  <c r="K34" i="16"/>
  <c r="J34" i="16"/>
  <c r="K38" i="16"/>
  <c r="J38" i="16"/>
  <c r="U23" i="16"/>
  <c r="U8" i="16"/>
  <c r="U66" i="16"/>
  <c r="U68" i="16"/>
  <c r="U65" i="16"/>
  <c r="U59" i="16"/>
  <c r="V59" i="16"/>
  <c r="W72" i="14"/>
  <c r="X72" i="14"/>
  <c r="M72" i="14"/>
  <c r="Q72" i="14" s="1"/>
  <c r="N72" i="14"/>
  <c r="O72" i="14"/>
  <c r="P72" i="14"/>
  <c r="A72" i="14"/>
  <c r="B72" i="14"/>
  <c r="H72" i="14"/>
  <c r="W34" i="14"/>
  <c r="W35" i="14"/>
  <c r="W36" i="14"/>
  <c r="W37" i="14"/>
  <c r="W38" i="14"/>
  <c r="W39" i="14"/>
  <c r="W40" i="14"/>
  <c r="W41" i="14"/>
  <c r="W42" i="14"/>
  <c r="W43" i="14"/>
  <c r="W44" i="14"/>
  <c r="W45" i="14"/>
  <c r="W46" i="14"/>
  <c r="W47" i="14"/>
  <c r="W48" i="14"/>
  <c r="M47" i="14"/>
  <c r="N47" i="14"/>
  <c r="O47" i="14"/>
  <c r="P47" i="14"/>
  <c r="M48" i="14"/>
  <c r="N48" i="14"/>
  <c r="O48" i="14"/>
  <c r="P48" i="14"/>
  <c r="G47" i="14"/>
  <c r="G48" i="14"/>
  <c r="A47" i="14"/>
  <c r="B47" i="14"/>
  <c r="A48" i="14"/>
  <c r="B48" i="14"/>
  <c r="W24" i="14"/>
  <c r="X24" i="14"/>
  <c r="M24" i="14"/>
  <c r="N24" i="14"/>
  <c r="O24" i="14"/>
  <c r="P24" i="14"/>
  <c r="A24" i="14"/>
  <c r="B24" i="14"/>
  <c r="I24" i="14"/>
  <c r="Q48" i="14" l="1"/>
  <c r="Q47" i="14"/>
  <c r="S38" i="16"/>
  <c r="L38" i="16"/>
  <c r="S33" i="16"/>
  <c r="T33" i="16" s="1"/>
  <c r="L33" i="16"/>
  <c r="S37" i="16"/>
  <c r="L37" i="16"/>
  <c r="S42" i="16"/>
  <c r="L42" i="16"/>
  <c r="S45" i="16"/>
  <c r="T45" i="16" s="1"/>
  <c r="L45" i="16"/>
  <c r="L36" i="16"/>
  <c r="S36" i="16"/>
  <c r="T36" i="16" s="1"/>
  <c r="L39" i="16"/>
  <c r="S39" i="16"/>
  <c r="L44" i="16"/>
  <c r="S44" i="16"/>
  <c r="T44" i="16" s="1"/>
  <c r="L40" i="16"/>
  <c r="S40" i="16"/>
  <c r="T40" i="16" s="1"/>
  <c r="S34" i="16"/>
  <c r="T34" i="16" s="1"/>
  <c r="V34" i="16" s="1"/>
  <c r="L34" i="16"/>
  <c r="S35" i="16"/>
  <c r="L35" i="16"/>
  <c r="L32" i="16"/>
  <c r="S32" i="16"/>
  <c r="T32" i="16" s="1"/>
  <c r="V32" i="16" s="1"/>
  <c r="L43" i="16"/>
  <c r="S43" i="16"/>
  <c r="S41" i="16"/>
  <c r="T41" i="16" s="1"/>
  <c r="V41" i="16" s="1"/>
  <c r="L41" i="16"/>
  <c r="U56" i="16"/>
  <c r="V56" i="16"/>
  <c r="V67" i="16"/>
  <c r="U67" i="16"/>
  <c r="U19" i="16"/>
  <c r="V19" i="16"/>
  <c r="U22" i="16"/>
  <c r="V22" i="16"/>
  <c r="U45" i="16"/>
  <c r="V45" i="16"/>
  <c r="U36" i="16"/>
  <c r="V36" i="16"/>
  <c r="U40" i="16"/>
  <c r="V40" i="16"/>
  <c r="U44" i="16"/>
  <c r="V44" i="16"/>
  <c r="U20" i="16"/>
  <c r="V20" i="16"/>
  <c r="U34" i="16"/>
  <c r="U11" i="16"/>
  <c r="V11" i="16"/>
  <c r="U15" i="16"/>
  <c r="V15" i="16"/>
  <c r="U54" i="16"/>
  <c r="V54" i="16"/>
  <c r="U10" i="16"/>
  <c r="V10" i="16"/>
  <c r="U33" i="16"/>
  <c r="V33" i="16"/>
  <c r="U17" i="16"/>
  <c r="V17" i="16"/>
  <c r="U32" i="16"/>
  <c r="V65" i="16"/>
  <c r="V66" i="16"/>
  <c r="V63" i="16"/>
  <c r="V57" i="16"/>
  <c r="V58" i="16"/>
  <c r="V64" i="16"/>
  <c r="V18" i="16"/>
  <c r="V14" i="16"/>
  <c r="V9" i="16"/>
  <c r="V68" i="16"/>
  <c r="V8" i="16"/>
  <c r="V23" i="16"/>
  <c r="V60" i="16"/>
  <c r="V16" i="16"/>
  <c r="V55" i="16"/>
  <c r="V61" i="16"/>
  <c r="V62" i="16"/>
  <c r="V12" i="16"/>
  <c r="V13" i="16"/>
  <c r="K24" i="14"/>
  <c r="J24" i="14"/>
  <c r="Q24" i="14"/>
  <c r="I47" i="14"/>
  <c r="I72" i="14"/>
  <c r="I48" i="14"/>
  <c r="X71" i="14"/>
  <c r="W71" i="14"/>
  <c r="P71" i="14"/>
  <c r="O71" i="14"/>
  <c r="N71" i="14"/>
  <c r="M71" i="14"/>
  <c r="H71" i="14"/>
  <c r="B71" i="14"/>
  <c r="A71" i="14"/>
  <c r="X70" i="14"/>
  <c r="W70" i="14"/>
  <c r="P70" i="14"/>
  <c r="O70" i="14"/>
  <c r="N70" i="14"/>
  <c r="M70" i="14"/>
  <c r="Q70" i="14" s="1"/>
  <c r="H70" i="14"/>
  <c r="B70" i="14"/>
  <c r="A70" i="14"/>
  <c r="X69" i="14"/>
  <c r="W69" i="14"/>
  <c r="P69" i="14"/>
  <c r="O69" i="14"/>
  <c r="N69" i="14"/>
  <c r="M69" i="14"/>
  <c r="H69" i="14"/>
  <c r="B69" i="14"/>
  <c r="A69" i="14"/>
  <c r="X68" i="14"/>
  <c r="W68" i="14"/>
  <c r="P68" i="14"/>
  <c r="O68" i="14"/>
  <c r="N68" i="14"/>
  <c r="M68" i="14"/>
  <c r="H68" i="14"/>
  <c r="B68" i="14"/>
  <c r="A68" i="14"/>
  <c r="X67" i="14"/>
  <c r="W67" i="14"/>
  <c r="P67" i="14"/>
  <c r="O67" i="14"/>
  <c r="N67" i="14"/>
  <c r="M67" i="14"/>
  <c r="H67" i="14"/>
  <c r="B67" i="14"/>
  <c r="A67" i="14"/>
  <c r="X66" i="14"/>
  <c r="W66" i="14"/>
  <c r="P66" i="14"/>
  <c r="O66" i="14"/>
  <c r="N66" i="14"/>
  <c r="M66" i="14"/>
  <c r="Q66" i="14" s="1"/>
  <c r="H66" i="14"/>
  <c r="B66" i="14"/>
  <c r="A66" i="14"/>
  <c r="X65" i="14"/>
  <c r="W65" i="14"/>
  <c r="P65" i="14"/>
  <c r="O65" i="14"/>
  <c r="N65" i="14"/>
  <c r="M65" i="14"/>
  <c r="H65" i="14"/>
  <c r="B65" i="14"/>
  <c r="A65" i="14"/>
  <c r="X64" i="14"/>
  <c r="W64" i="14"/>
  <c r="P64" i="14"/>
  <c r="O64" i="14"/>
  <c r="N64" i="14"/>
  <c r="M64" i="14"/>
  <c r="H64" i="14"/>
  <c r="B64" i="14"/>
  <c r="A64" i="14"/>
  <c r="X63" i="14"/>
  <c r="W63" i="14"/>
  <c r="P63" i="14"/>
  <c r="O63" i="14"/>
  <c r="N63" i="14"/>
  <c r="M63" i="14"/>
  <c r="H63" i="14"/>
  <c r="B63" i="14"/>
  <c r="A63" i="14"/>
  <c r="X62" i="14"/>
  <c r="W62" i="14"/>
  <c r="P62" i="14"/>
  <c r="O62" i="14"/>
  <c r="N62" i="14"/>
  <c r="M62" i="14"/>
  <c r="Q62" i="14" s="1"/>
  <c r="H62" i="14"/>
  <c r="B62" i="14"/>
  <c r="A62" i="14"/>
  <c r="X61" i="14"/>
  <c r="W61" i="14"/>
  <c r="P61" i="14"/>
  <c r="O61" i="14"/>
  <c r="N61" i="14"/>
  <c r="M61" i="14"/>
  <c r="Q61" i="14" s="1"/>
  <c r="H61" i="14"/>
  <c r="B61" i="14"/>
  <c r="A61" i="14"/>
  <c r="X60" i="14"/>
  <c r="W60" i="14"/>
  <c r="P60" i="14"/>
  <c r="O60" i="14"/>
  <c r="N60" i="14"/>
  <c r="M60" i="14"/>
  <c r="H60" i="14"/>
  <c r="B60" i="14"/>
  <c r="A60" i="14"/>
  <c r="X59" i="14"/>
  <c r="W59" i="14"/>
  <c r="P59" i="14"/>
  <c r="O59" i="14"/>
  <c r="N59" i="14"/>
  <c r="M59" i="14"/>
  <c r="H59" i="14"/>
  <c r="B59" i="14"/>
  <c r="A59" i="14"/>
  <c r="X58" i="14"/>
  <c r="W58" i="14"/>
  <c r="P58" i="14"/>
  <c r="O58" i="14"/>
  <c r="N58" i="14"/>
  <c r="M58" i="14"/>
  <c r="H58" i="14"/>
  <c r="B58" i="14"/>
  <c r="A58" i="14"/>
  <c r="X57" i="14"/>
  <c r="W57" i="14"/>
  <c r="P57" i="14"/>
  <c r="O57" i="14"/>
  <c r="N57" i="14"/>
  <c r="M57" i="14"/>
  <c r="Q57" i="14" s="1"/>
  <c r="H57" i="14"/>
  <c r="B57" i="14"/>
  <c r="A57" i="14"/>
  <c r="P46" i="14"/>
  <c r="O46" i="14"/>
  <c r="N46" i="14"/>
  <c r="M46" i="14"/>
  <c r="G46" i="14"/>
  <c r="B46" i="14"/>
  <c r="A46" i="14"/>
  <c r="P45" i="14"/>
  <c r="O45" i="14"/>
  <c r="N45" i="14"/>
  <c r="M45" i="14"/>
  <c r="G45" i="14"/>
  <c r="B45" i="14"/>
  <c r="A45" i="14"/>
  <c r="P44" i="14"/>
  <c r="O44" i="14"/>
  <c r="N44" i="14"/>
  <c r="M44" i="14"/>
  <c r="G44" i="14"/>
  <c r="B44" i="14"/>
  <c r="A44" i="14"/>
  <c r="P43" i="14"/>
  <c r="O43" i="14"/>
  <c r="N43" i="14"/>
  <c r="M43" i="14"/>
  <c r="Q43" i="14" s="1"/>
  <c r="G43" i="14"/>
  <c r="B43" i="14"/>
  <c r="A43" i="14"/>
  <c r="P42" i="14"/>
  <c r="O42" i="14"/>
  <c r="N42" i="14"/>
  <c r="M42" i="14"/>
  <c r="G42" i="14"/>
  <c r="B42" i="14"/>
  <c r="A42" i="14"/>
  <c r="P41" i="14"/>
  <c r="O41" i="14"/>
  <c r="N41" i="14"/>
  <c r="M41" i="14"/>
  <c r="G41" i="14"/>
  <c r="B41" i="14"/>
  <c r="A41" i="14"/>
  <c r="P40" i="14"/>
  <c r="O40" i="14"/>
  <c r="N40" i="14"/>
  <c r="M40" i="14"/>
  <c r="G40" i="14"/>
  <c r="B40" i="14"/>
  <c r="A40" i="14"/>
  <c r="P39" i="14"/>
  <c r="O39" i="14"/>
  <c r="N39" i="14"/>
  <c r="M39" i="14"/>
  <c r="Q39" i="14" s="1"/>
  <c r="G39" i="14"/>
  <c r="B39" i="14"/>
  <c r="A39" i="14"/>
  <c r="X38" i="14"/>
  <c r="P38" i="14"/>
  <c r="O38" i="14"/>
  <c r="N38" i="14"/>
  <c r="M38" i="14"/>
  <c r="Q38" i="14" s="1"/>
  <c r="G38" i="14"/>
  <c r="B38" i="14"/>
  <c r="A38" i="14"/>
  <c r="X37" i="14"/>
  <c r="P37" i="14"/>
  <c r="O37" i="14"/>
  <c r="N37" i="14"/>
  <c r="M37" i="14"/>
  <c r="Q37" i="14" s="1"/>
  <c r="G37" i="14"/>
  <c r="B37" i="14"/>
  <c r="A37" i="14"/>
  <c r="X36" i="14"/>
  <c r="P36" i="14"/>
  <c r="O36" i="14"/>
  <c r="N36" i="14"/>
  <c r="M36" i="14"/>
  <c r="Q36" i="14" s="1"/>
  <c r="G36" i="14"/>
  <c r="B36" i="14"/>
  <c r="A36" i="14"/>
  <c r="X35" i="14"/>
  <c r="P35" i="14"/>
  <c r="O35" i="14"/>
  <c r="N35" i="14"/>
  <c r="M35" i="14"/>
  <c r="Q35" i="14" s="1"/>
  <c r="G35" i="14"/>
  <c r="B35" i="14"/>
  <c r="A35" i="14"/>
  <c r="X34" i="14"/>
  <c r="P34" i="14"/>
  <c r="O34" i="14"/>
  <c r="N34" i="14"/>
  <c r="M34" i="14"/>
  <c r="Q34" i="14" s="1"/>
  <c r="H34" i="14"/>
  <c r="B34" i="14"/>
  <c r="A34" i="14"/>
  <c r="X33" i="14"/>
  <c r="W33" i="14"/>
  <c r="P33" i="14"/>
  <c r="O33" i="14"/>
  <c r="N33" i="14"/>
  <c r="M33" i="14"/>
  <c r="G33" i="14"/>
  <c r="B33" i="14"/>
  <c r="A33" i="14"/>
  <c r="X23" i="14"/>
  <c r="W23" i="14"/>
  <c r="P23" i="14"/>
  <c r="O23" i="14"/>
  <c r="N23" i="14"/>
  <c r="M23" i="14"/>
  <c r="B23" i="14"/>
  <c r="A23" i="14"/>
  <c r="X22" i="14"/>
  <c r="W22" i="14"/>
  <c r="P22" i="14"/>
  <c r="O22" i="14"/>
  <c r="N22" i="14"/>
  <c r="M22" i="14"/>
  <c r="B22" i="14"/>
  <c r="A22" i="14"/>
  <c r="X21" i="14"/>
  <c r="W21" i="14"/>
  <c r="P21" i="14"/>
  <c r="O21" i="14"/>
  <c r="N21" i="14"/>
  <c r="M21" i="14"/>
  <c r="B21" i="14"/>
  <c r="A21" i="14"/>
  <c r="X20" i="14"/>
  <c r="W20" i="14"/>
  <c r="P20" i="14"/>
  <c r="O20" i="14"/>
  <c r="N20" i="14"/>
  <c r="M20" i="14"/>
  <c r="B20" i="14"/>
  <c r="A20" i="14"/>
  <c r="X19" i="14"/>
  <c r="W19" i="14"/>
  <c r="P19" i="14"/>
  <c r="O19" i="14"/>
  <c r="N19" i="14"/>
  <c r="M19" i="14"/>
  <c r="B19" i="14"/>
  <c r="A19" i="14"/>
  <c r="X18" i="14"/>
  <c r="W18" i="14"/>
  <c r="P18" i="14"/>
  <c r="O18" i="14"/>
  <c r="N18" i="14"/>
  <c r="M18" i="14"/>
  <c r="B18" i="14"/>
  <c r="A18" i="14"/>
  <c r="X17" i="14"/>
  <c r="W17" i="14"/>
  <c r="P17" i="14"/>
  <c r="O17" i="14"/>
  <c r="N17" i="14"/>
  <c r="M17" i="14"/>
  <c r="B17" i="14"/>
  <c r="A17" i="14"/>
  <c r="X16" i="14"/>
  <c r="W16" i="14"/>
  <c r="P16" i="14"/>
  <c r="O16" i="14"/>
  <c r="N16" i="14"/>
  <c r="M16" i="14"/>
  <c r="B16" i="14"/>
  <c r="A16" i="14"/>
  <c r="X15" i="14"/>
  <c r="W15" i="14"/>
  <c r="P15" i="14"/>
  <c r="O15" i="14"/>
  <c r="N15" i="14"/>
  <c r="M15" i="14"/>
  <c r="B15" i="14"/>
  <c r="A15" i="14"/>
  <c r="X14" i="14"/>
  <c r="W14" i="14"/>
  <c r="P14" i="14"/>
  <c r="O14" i="14"/>
  <c r="N14" i="14"/>
  <c r="M14" i="14"/>
  <c r="B14" i="14"/>
  <c r="A14" i="14"/>
  <c r="X13" i="14"/>
  <c r="W13" i="14"/>
  <c r="P13" i="14"/>
  <c r="O13" i="14"/>
  <c r="N13" i="14"/>
  <c r="M13" i="14"/>
  <c r="B13" i="14"/>
  <c r="A13" i="14"/>
  <c r="X12" i="14"/>
  <c r="W12" i="14"/>
  <c r="P12" i="14"/>
  <c r="O12" i="14"/>
  <c r="N12" i="14"/>
  <c r="M12" i="14"/>
  <c r="B12" i="14"/>
  <c r="A12" i="14"/>
  <c r="X11" i="14"/>
  <c r="W11" i="14"/>
  <c r="P11" i="14"/>
  <c r="O11" i="14"/>
  <c r="N11" i="14"/>
  <c r="M11" i="14"/>
  <c r="B11" i="14"/>
  <c r="A11" i="14"/>
  <c r="X10" i="14"/>
  <c r="W10" i="14"/>
  <c r="P10" i="14"/>
  <c r="O10" i="14"/>
  <c r="N10" i="14"/>
  <c r="M10" i="14"/>
  <c r="I10" i="14"/>
  <c r="B10" i="14"/>
  <c r="A10" i="14"/>
  <c r="X9" i="14"/>
  <c r="W9" i="14"/>
  <c r="P9" i="14"/>
  <c r="O9" i="14"/>
  <c r="N9" i="14"/>
  <c r="M9" i="14"/>
  <c r="B9" i="14"/>
  <c r="A9" i="14"/>
  <c r="X8" i="14"/>
  <c r="W8" i="14"/>
  <c r="P8" i="14"/>
  <c r="O8" i="14"/>
  <c r="N8" i="14"/>
  <c r="M8" i="14"/>
  <c r="B8" i="14"/>
  <c r="A8" i="14"/>
  <c r="Q65" i="14" l="1"/>
  <c r="Q69" i="14"/>
  <c r="Q9" i="14"/>
  <c r="K72" i="14"/>
  <c r="J72" i="14"/>
  <c r="U47" i="14"/>
  <c r="Q8" i="14"/>
  <c r="Q42" i="14"/>
  <c r="Q46" i="14"/>
  <c r="Q41" i="14"/>
  <c r="Q45" i="14"/>
  <c r="Q59" i="14"/>
  <c r="Q63" i="14"/>
  <c r="Q67" i="14"/>
  <c r="Q71" i="14"/>
  <c r="U48" i="14"/>
  <c r="Q58" i="14"/>
  <c r="Q40" i="14"/>
  <c r="Q44" i="14"/>
  <c r="Q60" i="14"/>
  <c r="Q64" i="14"/>
  <c r="Q68" i="14"/>
  <c r="U24" i="14"/>
  <c r="V24" i="14"/>
  <c r="T42" i="16"/>
  <c r="V42" i="16" s="1"/>
  <c r="U42" i="16"/>
  <c r="T43" i="16"/>
  <c r="V43" i="16" s="1"/>
  <c r="U43" i="16"/>
  <c r="T39" i="16"/>
  <c r="V39" i="16" s="1"/>
  <c r="U39" i="16"/>
  <c r="U41" i="16"/>
  <c r="T35" i="16"/>
  <c r="V35" i="16" s="1"/>
  <c r="U35" i="16"/>
  <c r="T37" i="16"/>
  <c r="V37" i="16" s="1"/>
  <c r="U37" i="16"/>
  <c r="T38" i="16"/>
  <c r="V38" i="16" s="1"/>
  <c r="U38" i="16"/>
  <c r="K47" i="14"/>
  <c r="J47" i="14"/>
  <c r="Q33" i="14"/>
  <c r="K48" i="14"/>
  <c r="J48" i="14"/>
  <c r="K10" i="14"/>
  <c r="J10" i="14"/>
  <c r="Q10" i="14"/>
  <c r="Q13" i="14"/>
  <c r="Q16" i="14"/>
  <c r="Q20" i="14"/>
  <c r="Q12" i="14"/>
  <c r="Q14" i="14"/>
  <c r="Q17" i="14"/>
  <c r="Q19" i="14"/>
  <c r="Q21" i="14"/>
  <c r="Q23" i="14"/>
  <c r="Q11" i="14"/>
  <c r="Q15" i="14"/>
  <c r="Q18" i="14"/>
  <c r="Q22" i="14"/>
  <c r="I69" i="14"/>
  <c r="I11" i="14"/>
  <c r="I16" i="14"/>
  <c r="I20" i="14"/>
  <c r="I57" i="14"/>
  <c r="I65" i="14"/>
  <c r="I35" i="14"/>
  <c r="I39" i="14"/>
  <c r="I40" i="14"/>
  <c r="I41" i="14"/>
  <c r="I42" i="14"/>
  <c r="I43" i="14"/>
  <c r="I44" i="14"/>
  <c r="I45" i="14"/>
  <c r="I46" i="14"/>
  <c r="I58" i="14"/>
  <c r="I59" i="14"/>
  <c r="I60" i="14"/>
  <c r="I61" i="14"/>
  <c r="I63" i="14"/>
  <c r="I64" i="14"/>
  <c r="I66" i="14"/>
  <c r="I67" i="14"/>
  <c r="I68" i="14"/>
  <c r="I70" i="14"/>
  <c r="I71" i="14"/>
  <c r="I38" i="14"/>
  <c r="I21" i="14"/>
  <c r="I23" i="14"/>
  <c r="I33" i="14"/>
  <c r="I34" i="14"/>
  <c r="I9" i="14"/>
  <c r="I36" i="14"/>
  <c r="I13" i="14"/>
  <c r="I37" i="14"/>
  <c r="I62" i="14"/>
  <c r="I8" i="14"/>
  <c r="I12" i="14"/>
  <c r="I14" i="14"/>
  <c r="I17" i="14"/>
  <c r="I15" i="14"/>
  <c r="I22" i="14"/>
  <c r="I18" i="14"/>
  <c r="I19" i="14"/>
  <c r="U60" i="14" l="1"/>
  <c r="V72" i="14"/>
  <c r="U72" i="14"/>
  <c r="K71" i="14"/>
  <c r="J71" i="14"/>
  <c r="K65" i="14"/>
  <c r="J65" i="14"/>
  <c r="K64" i="14"/>
  <c r="J64" i="14"/>
  <c r="K62" i="14"/>
  <c r="J62" i="14"/>
  <c r="K68" i="14"/>
  <c r="J68" i="14"/>
  <c r="K63" i="14"/>
  <c r="J63" i="14"/>
  <c r="K58" i="14"/>
  <c r="J58" i="14"/>
  <c r="U68" i="14"/>
  <c r="V68" i="14"/>
  <c r="V47" i="14"/>
  <c r="K66" i="14"/>
  <c r="J66" i="14"/>
  <c r="K60" i="14"/>
  <c r="J60" i="14"/>
  <c r="U15" i="14"/>
  <c r="V15" i="14"/>
  <c r="K70" i="14"/>
  <c r="J70" i="14"/>
  <c r="K59" i="14"/>
  <c r="J59" i="14"/>
  <c r="K57" i="14"/>
  <c r="J57" i="14"/>
  <c r="K69" i="14"/>
  <c r="J69" i="14"/>
  <c r="K67" i="14"/>
  <c r="J67" i="14"/>
  <c r="K61" i="14"/>
  <c r="J61" i="14"/>
  <c r="U10" i="14"/>
  <c r="V10" i="14"/>
  <c r="U64" i="14"/>
  <c r="V48" i="14"/>
  <c r="K45" i="14"/>
  <c r="J45" i="14"/>
  <c r="K41" i="14"/>
  <c r="J41" i="14"/>
  <c r="K20" i="14"/>
  <c r="J20" i="14"/>
  <c r="K19" i="14"/>
  <c r="J19" i="14"/>
  <c r="K22" i="14"/>
  <c r="J22" i="14"/>
  <c r="K12" i="14"/>
  <c r="J12" i="14"/>
  <c r="K13" i="14"/>
  <c r="J13" i="14"/>
  <c r="K33" i="14"/>
  <c r="J33" i="14"/>
  <c r="K43" i="14"/>
  <c r="J43" i="14"/>
  <c r="K39" i="14"/>
  <c r="J39" i="14"/>
  <c r="K11" i="14"/>
  <c r="J11" i="14"/>
  <c r="K17" i="14"/>
  <c r="J17" i="14"/>
  <c r="K9" i="14"/>
  <c r="J9" i="14"/>
  <c r="K21" i="14"/>
  <c r="J21" i="14"/>
  <c r="K18" i="14"/>
  <c r="J18" i="14"/>
  <c r="K15" i="14"/>
  <c r="J15" i="14"/>
  <c r="K8" i="14"/>
  <c r="J8" i="14"/>
  <c r="K36" i="14"/>
  <c r="J36" i="14"/>
  <c r="K23" i="14"/>
  <c r="J23" i="14"/>
  <c r="K38" i="14"/>
  <c r="J38" i="14"/>
  <c r="K46" i="14"/>
  <c r="J46" i="14"/>
  <c r="K42" i="14"/>
  <c r="J42" i="14"/>
  <c r="K35" i="14"/>
  <c r="J35" i="14"/>
  <c r="K14" i="14"/>
  <c r="J14" i="14"/>
  <c r="K37" i="14"/>
  <c r="J37" i="14"/>
  <c r="K34" i="14"/>
  <c r="J34" i="14"/>
  <c r="K44" i="14"/>
  <c r="J44" i="14"/>
  <c r="K40" i="14"/>
  <c r="J40" i="14"/>
  <c r="K16" i="14"/>
  <c r="J16" i="14"/>
  <c r="V64" i="14" l="1"/>
  <c r="U46" i="14"/>
  <c r="V46" i="14"/>
  <c r="V9" i="14"/>
  <c r="U9" i="14"/>
  <c r="V13" i="14"/>
  <c r="U13" i="14"/>
  <c r="V20" i="14"/>
  <c r="U20" i="14"/>
  <c r="V69" i="14"/>
  <c r="U69" i="14"/>
  <c r="V59" i="14"/>
  <c r="U59" i="14"/>
  <c r="U44" i="14"/>
  <c r="V44" i="14"/>
  <c r="V18" i="14"/>
  <c r="U18" i="14"/>
  <c r="U14" i="14"/>
  <c r="V14" i="14"/>
  <c r="U17" i="14"/>
  <c r="V17" i="14"/>
  <c r="U12" i="14"/>
  <c r="V12" i="14"/>
  <c r="U19" i="14"/>
  <c r="V19" i="14"/>
  <c r="U23" i="14"/>
  <c r="V23" i="14"/>
  <c r="U40" i="14"/>
  <c r="V40" i="14"/>
  <c r="U42" i="14"/>
  <c r="V42" i="14"/>
  <c r="V33" i="14"/>
  <c r="U33" i="14"/>
  <c r="V67" i="14"/>
  <c r="U67" i="14"/>
  <c r="V16" i="14"/>
  <c r="U16" i="14"/>
  <c r="U8" i="14"/>
  <c r="V8" i="14"/>
  <c r="V11" i="14"/>
  <c r="U11" i="14"/>
  <c r="U22" i="14"/>
  <c r="V22" i="14"/>
  <c r="U45" i="14"/>
  <c r="V45" i="14"/>
  <c r="U58" i="14"/>
  <c r="V58" i="14"/>
  <c r="V63" i="14"/>
  <c r="U63" i="14"/>
  <c r="U35" i="14"/>
  <c r="V35" i="14"/>
  <c r="U34" i="14"/>
  <c r="V34" i="14"/>
  <c r="U38" i="14"/>
  <c r="V38" i="14"/>
  <c r="V36" i="14"/>
  <c r="U36" i="14"/>
  <c r="V39" i="14"/>
  <c r="U39" i="14"/>
  <c r="V61" i="14"/>
  <c r="U61" i="14"/>
  <c r="U70" i="14"/>
  <c r="V70" i="14"/>
  <c r="V21" i="14"/>
  <c r="U21" i="14"/>
  <c r="V41" i="14"/>
  <c r="U41" i="14"/>
  <c r="U62" i="14"/>
  <c r="V62" i="14"/>
  <c r="V60" i="14"/>
  <c r="V37" i="14"/>
  <c r="U37" i="14"/>
  <c r="V71" i="14"/>
  <c r="U71" i="14"/>
  <c r="V65" i="14"/>
  <c r="U65" i="14"/>
  <c r="V57" i="14" l="1"/>
  <c r="U57" i="14"/>
  <c r="U66" i="14"/>
  <c r="V66" i="14"/>
  <c r="V43" i="14"/>
  <c r="U43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829B8B6C-3378-A040-85B2-C295CD4E203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7" authorId="1" shapeId="0" xr:uid="{35C9D026-DEBF-FE49-9FDF-EAE6C19B3204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R33" authorId="0" shapeId="0" xr:uid="{69A16D60-B2D2-484D-8F0B-D54A2C6A121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8" authorId="0" shapeId="0" xr:uid="{F825F15C-F644-2B45-98D2-1484A94A8A2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68" authorId="0" shapeId="0" xr:uid="{77C7C100-600B-7849-AE38-4FA659D3C17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C24" authorId="0" shapeId="0" xr:uid="{5107E974-3F79-1742-8683-CF173D3E6A6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48" authorId="0" shapeId="0" xr:uid="{6E2F920D-3A61-B647-87C5-42503A2CB36C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0E4F23B-AC2D-304C-B44A-A17E1E915D55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67A1E29-3DD3-1F40-974A-3536BE1B70F3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355A0D0C-84D9-2D48-8C7C-ABEBEC51C4E0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9BE1736-1D66-474C-B7F6-EB5B5482A7DC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AAFBD418-F2DA-4E49-8F81-98FFB3A47B5F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B8B4A1E-49A1-7542-941E-161F4BACBF17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9F66513-FD82-D44B-98B6-F61025DB2BC6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2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Q2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N15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Q15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N27" authorId="0" shapeId="0" xr:uid="{00000000-0006-0000-05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41.26 c/kWh allocated to 3 summer months and off-peak rate of 37.36 c/kWh allocated to 9 winter months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2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32.68 c/kWh allocated to 3 summer months and off-peak rate of 30.89 c/kWh allocated to 9 winter months</t>
        </r>
      </text>
    </comment>
    <comment ref="Q2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33.92 c/kWh allocated to 3 summer months and off-peak rate of 32.16 c/kWh allocated to 9 winter months</t>
        </r>
      </text>
    </comment>
    <comment ref="N17" authorId="0" shapeId="0" xr:uid="{00000000-0006-0000-06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32.68 c/kWh allocated to 3 summer months and off-peak rate of 30.89 c/kWh allocated to 9 winter months</t>
        </r>
      </text>
    </comment>
    <comment ref="Q17" authorId="0" shapeId="0" xr:uid="{00000000-0006-0000-06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33.92 c/kWh allocated to 3 summer months and off-peak rate of 32.16 c/kWh allocated to 9 winter months</t>
        </r>
      </text>
    </comment>
    <comment ref="N31" authorId="0" shapeId="0" xr:uid="{00000000-0006-0000-06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38.13 c/kWh allocated to 3 summer months and off-peak rate of 34.49 c/kWh allocated to 9 winter months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5AF62314-577D-9846-9E93-7C8F05BC3CB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7" authorId="1" shapeId="0" xr:uid="{959FB77F-9C31-C741-A0AA-B38F6B3DE5EF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C21" authorId="2" shapeId="0" xr:uid="{903E1F3F-2B0E-1B4C-8805-804D6934F8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R32" authorId="0" shapeId="0" xr:uid="{6E44E8F5-D742-FA4B-9460-66C62757DD2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7" authorId="0" shapeId="0" xr:uid="{886CAFBA-F583-8540-92CF-F334193BF9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67" authorId="0" shapeId="0" xr:uid="{B4370FD2-6C68-C149-BB40-F6B2DE05121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68DB4336-AFED-3543-9FAD-F559536E95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7" authorId="1" shapeId="0" xr:uid="{7678C55C-8D75-F146-B66F-8FC48E658D7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30" authorId="0" shapeId="0" xr:uid="{A16A678D-6A51-8642-A530-DCE8BB6C8E1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3" authorId="0" shapeId="0" xr:uid="{43B8BF57-9138-7842-872F-FBBFD4B18A8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63" authorId="0" shapeId="0" xr:uid="{D10C20AE-06C3-D54C-A7A2-36142CC146D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1EFAE4D2-C81B-2748-85B8-971E662AB4E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098E9E67-FF3C-C54D-9017-0DD5261DFEA4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92DF5036-2406-764A-A4EE-F6C8F3C42969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5" authorId="2" shapeId="0" xr:uid="{76830E34-1B61-934C-98A1-B7A0F8E452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8" authorId="0" shapeId="0" xr:uid="{62B177B2-5F03-2443-A88E-E8CEBF0B16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1" shapeId="0" xr:uid="{96156738-3688-2745-B617-7858AA28F354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7" authorId="2" shapeId="0" xr:uid="{828A6C9D-4ED2-3645-8B5B-829FA9ED9AB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70" authorId="0" shapeId="0" xr:uid="{C417D0A6-9064-9442-9DD3-655A87E7651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81" authorId="0" shapeId="0" xr:uid="{16888A27-4F95-8A40-AC4F-56495990444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6" authorId="1" shapeId="0" xr:uid="{B6B8AA6C-0FBF-BC4C-84D5-77D59530809F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95" authorId="2" shapeId="0" xr:uid="{476C1297-2955-5E4D-BB6B-B96BCD7054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9ACBD69D-56CD-A241-9C8C-3D9D1FE0ABA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BD371098-7EC9-494D-85C8-349B4E5D9E93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08AD3351-8D42-2347-9F7F-ACFDFB51F928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6" authorId="2" shapeId="0" xr:uid="{00E55EF7-9D62-5F4E-8010-348844B49A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6" authorId="0" shapeId="0" xr:uid="{91BC9877-AF94-0249-B6ED-487AF566A5A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1" shapeId="0" xr:uid="{0D7BFFD5-6A64-ED4C-9363-5F56FF184C0D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3" authorId="2" shapeId="0" xr:uid="{BDC78353-E612-444D-9355-7DC586CD48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65" authorId="0" shapeId="0" xr:uid="{63CDDB5C-19D5-4B48-81A5-9914621BF54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54F27CA9-DD55-DA41-8671-9D0484FB2AF5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15DA799C-DA54-6646-97A0-AEBCBD716BE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F349E2EA-0179-1E41-9159-17C53D2048F0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9C1C0C6C-206D-F349-8B8A-74FC66961423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8" authorId="2" shapeId="0" xr:uid="{E4CF57EA-8322-1A4F-944F-A3D48D7D100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6" authorId="0" shapeId="0" xr:uid="{10D678BA-99CE-F249-8B24-F58518E3F49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1" shapeId="0" xr:uid="{1A1326A2-CAA5-9A42-8C9B-3202D5E818E5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3" authorId="2" shapeId="0" xr:uid="{C14D2F26-963B-EB43-8509-6C9FC63FAD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61" authorId="0" shapeId="0" xr:uid="{69B69FA2-47FA-1E4E-ACCB-752B5BA528C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1" authorId="1" shapeId="0" xr:uid="{0A58694D-2ED4-A048-9479-E05061E86806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79" authorId="2" shapeId="0" xr:uid="{E965B09E-5F33-AE49-B2B0-FAB4EC58762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D9E62B93-925E-AF40-9733-46BB1D1BC96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2" authorId="1" shapeId="0" xr:uid="{70E94F44-51F2-DE43-9D29-8A97C309ED9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3" authorId="1" shapeId="0" xr:uid="{F54305C3-EF3D-C34B-98FD-1159D1D50A3A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R36" authorId="0" shapeId="0" xr:uid="{B4BDA141-1156-754E-B600-34726F87C32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1" shapeId="0" xr:uid="{3061EC01-17B6-594D-8E5A-AEE0DCD7DB82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61" authorId="0" shapeId="0" xr:uid="{82DD5FE4-03A9-2C4B-9930-FEE3D727A1D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38233861-DD98-254B-A647-3A094B6B9A7B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691702A0-DD96-874A-8F36-125075F2624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3" authorId="1" shapeId="0" xr:uid="{4B44F21A-C787-6A45-8123-2BF2DC87551E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4" authorId="0" shapeId="0" xr:uid="{13FBCF5C-BB4A-9442-B139-D5B0E025BD99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33" authorId="0" shapeId="0" xr:uid="{BC5B1F33-3447-024E-BEFB-3016CCB674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9" authorId="1" shapeId="0" xr:uid="{08F2612C-8024-A245-82F0-E759D7180AC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8" authorId="0" shapeId="0" xr:uid="{0402E9E9-BCAC-064A-90E1-B05B37D262D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8CE38B07-DAD5-B544-AAEF-4E1ACB11F43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74" authorId="0" shapeId="0" xr:uid="{FFBA8B1F-C406-4848-A6E5-68B161F7ACAA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55A1FA6F-8F19-4840-AA93-D54EA3F2381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3" authorId="0" shapeId="0" xr:uid="{84DB8638-85F6-FB49-8B85-2C2FE7ACC22A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31" authorId="0" shapeId="0" xr:uid="{7B43471B-74DB-D34B-BC8C-5F7A0EC911D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3" authorId="0" shapeId="0" xr:uid="{CE814E17-CBE0-F54A-A485-C6843ED8F5C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9" authorId="0" shapeId="0" xr:uid="{08213E12-AE28-3149-9BFF-327F3C34493A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sharedStrings.xml><?xml version="1.0" encoding="utf-8"?>
<sst xmlns="http://schemas.openxmlformats.org/spreadsheetml/2006/main" count="13817" uniqueCount="986">
  <si>
    <t xml:space="preserve">Account establishment fee applies. </t>
    <phoneticPr fontId="7" type="noConversion"/>
  </si>
  <si>
    <t>https://www.agl.com.au/-/media/AGLData/DistributorData/PDFs/PriceFactSheet_AGL223789MS.pdf</t>
  </si>
  <si>
    <t>Controlled</t>
    <phoneticPr fontId="7" type="noConversion"/>
  </si>
  <si>
    <t>quarter</t>
    <phoneticPr fontId="7" type="noConversion"/>
  </si>
  <si>
    <t>SA-Controlled</t>
    <phoneticPr fontId="7" type="noConversion"/>
  </si>
  <si>
    <t>https://alintaenergy.com.au/Alinta/media/Documents/SA-SME-Fair-Go-Business-25-Electricity-Single-Rate-with-Controlled-Load-126-Price-Fact-Sheet-JAN2017.pdf</t>
  </si>
  <si>
    <t>SA-Controlled</t>
    <phoneticPr fontId="7" type="noConversion"/>
  </si>
  <si>
    <t>SA-Controlled</t>
    <phoneticPr fontId="7" type="noConversion"/>
  </si>
  <si>
    <t>n</t>
    <phoneticPr fontId="7" type="noConversion"/>
  </si>
  <si>
    <t>Controlled</t>
    <phoneticPr fontId="7" type="noConversion"/>
  </si>
  <si>
    <t>Origin Energy</t>
    <phoneticPr fontId="7" type="noConversion"/>
  </si>
  <si>
    <t>SA Power</t>
    <phoneticPr fontId="7" type="noConversion"/>
  </si>
  <si>
    <t>quarter</t>
    <phoneticPr fontId="7" type="noConversion"/>
  </si>
  <si>
    <t>Living Energy Saver</t>
    <phoneticPr fontId="7" type="noConversion"/>
  </si>
  <si>
    <t>quarter</t>
    <phoneticPr fontId="7" type="noConversion"/>
  </si>
  <si>
    <t>$50 account credit if signing up online</t>
    <phoneticPr fontId="7" type="noConversion"/>
  </si>
  <si>
    <t>Not available</t>
    <phoneticPr fontId="7" type="noConversion"/>
  </si>
  <si>
    <t>Two Rate</t>
    <phoneticPr fontId="7" type="noConversion"/>
  </si>
  <si>
    <t>SA-Two Rate-Seasonal</t>
    <phoneticPr fontId="7" type="noConversion"/>
  </si>
  <si>
    <t>https://www.agl.com.au/-/media/AGLData/DistributorData/PDFs/PriceFactSheet_AGL223793MS.pdf</t>
  </si>
  <si>
    <t>SA-Two rate</t>
    <phoneticPr fontId="7" type="noConversion"/>
  </si>
  <si>
    <t>https://alintaenergy.com.au/Alinta/media/Documents/SA-SME-Fair-Go-Business-25-Electricity-Time-of-Use-128-Price-Fact-Sheet-JAN2017.pdf</t>
  </si>
  <si>
    <t>Two Rate</t>
    <phoneticPr fontId="7" type="noConversion"/>
  </si>
  <si>
    <t>Two Rate</t>
    <phoneticPr fontId="7" type="noConversion"/>
  </si>
  <si>
    <t>EnergyAustralia</t>
    <phoneticPr fontId="7" type="noConversion"/>
  </si>
  <si>
    <t>SA-Two rate</t>
    <phoneticPr fontId="7" type="noConversion"/>
  </si>
  <si>
    <t>Two Rate</t>
    <phoneticPr fontId="7" type="noConversion"/>
  </si>
  <si>
    <t>SA-Two rate</t>
    <phoneticPr fontId="7" type="noConversion"/>
  </si>
  <si>
    <t>Two Rate</t>
    <phoneticPr fontId="7" type="noConversion"/>
  </si>
  <si>
    <t>Two Rate</t>
    <phoneticPr fontId="7" type="noConversion"/>
  </si>
  <si>
    <t>SA-Two rate</t>
    <phoneticPr fontId="7" type="noConversion"/>
  </si>
  <si>
    <t>Small Business Electricity Market Offers</t>
  </si>
  <si>
    <t>Unchanged</t>
    <phoneticPr fontId="7" type="noConversion"/>
  </si>
  <si>
    <t>Single</t>
    <phoneticPr fontId="7" type="noConversion"/>
  </si>
  <si>
    <t>EnergyAustralia</t>
    <phoneticPr fontId="7" type="noConversion"/>
  </si>
  <si>
    <t>Everyday Saver Business</t>
    <phoneticPr fontId="7" type="noConversion"/>
  </si>
  <si>
    <t>SA-Single</t>
    <phoneticPr fontId="7" type="noConversion"/>
  </si>
  <si>
    <t>net</t>
    <phoneticPr fontId="7" type="noConversion"/>
  </si>
  <si>
    <t>https://secure.energyaustralia.com.au/EnergyPriceFactSheets/Docs/EPFS/E_B_S_ESB_SA_19_09-03-2017.pdf</t>
  </si>
  <si>
    <t>Changed</t>
  </si>
  <si>
    <t>ERM Power</t>
    <phoneticPr fontId="7" type="noConversion"/>
  </si>
  <si>
    <t>Adjustable</t>
    <phoneticPr fontId="7" type="noConversion"/>
  </si>
  <si>
    <t>SA-Single</t>
    <phoneticPr fontId="7" type="noConversion"/>
  </si>
  <si>
    <t>http://www.ermpower.com.au/wp-content/uploads/2016/10/20161001_PFS_SA_ADJUST.pdf</t>
  </si>
  <si>
    <t>Unchanged</t>
    <phoneticPr fontId="7" type="noConversion"/>
  </si>
  <si>
    <t>SA Power</t>
    <phoneticPr fontId="7" type="noConversion"/>
  </si>
  <si>
    <t>y</t>
    <phoneticPr fontId="7" type="noConversion"/>
  </si>
  <si>
    <t>Lumo Energy</t>
    <phoneticPr fontId="7" type="noConversion"/>
  </si>
  <si>
    <t>Business Premium</t>
    <phoneticPr fontId="7" type="noConversion"/>
  </si>
  <si>
    <t>Dedicated account management team</t>
    <phoneticPr fontId="7" type="noConversion"/>
  </si>
  <si>
    <t>https://lumoenergy.com.au/~/media/lumo-energy/pdfs/20160701_pfs_sa_businesspremium.ashx</t>
  </si>
  <si>
    <t>Unchanged</t>
    <phoneticPr fontId="7" type="noConversion"/>
  </si>
  <si>
    <t>y</t>
    <phoneticPr fontId="7" type="noConversion"/>
  </si>
  <si>
    <t>Momentum Energy</t>
    <phoneticPr fontId="7" type="noConversion"/>
  </si>
  <si>
    <t>SmilePower</t>
    <phoneticPr fontId="7" type="noConversion"/>
  </si>
  <si>
    <t>net</t>
    <phoneticPr fontId="7" type="noConversion"/>
  </si>
  <si>
    <t>Also available as 2 and 3 years contracts</t>
    <phoneticPr fontId="7" type="noConversion"/>
  </si>
  <si>
    <t>http://www.momentumenergy.com.au/docs/default-source/price-sheets/sa-smilepower-sme-sapower.pdf?sfvrsn=32</t>
  </si>
  <si>
    <t>Unchanged</t>
    <phoneticPr fontId="7" type="noConversion"/>
  </si>
  <si>
    <t>Origin Energy</t>
    <phoneticPr fontId="7" type="noConversion"/>
  </si>
  <si>
    <t>Business Saver</t>
    <phoneticPr fontId="7" type="noConversion"/>
  </si>
  <si>
    <t>Also available with 2 years benefit period</t>
    <phoneticPr fontId="7" type="noConversion"/>
  </si>
  <si>
    <t>https://www.originenergy.com.au/content/dam/origin/business/Documents/energy-price-fact-sheets/sa/20160616/SA_Electricity_Small%20Business_SA%20Power%20Networks_BusinessSaver20.PDF</t>
  </si>
  <si>
    <t>Single</t>
    <phoneticPr fontId="7" type="noConversion"/>
  </si>
  <si>
    <t>Powerdirect</t>
    <phoneticPr fontId="7" type="noConversion"/>
  </si>
  <si>
    <t>Quarterly read</t>
    <phoneticPr fontId="7" type="noConversion"/>
  </si>
  <si>
    <t>Bills read quarterly</t>
    <phoneticPr fontId="7" type="noConversion"/>
  </si>
  <si>
    <t>http://www.powerdirect.com.au/south-australia-energy-price-fact-sheets-business/w1/i1064983#SRM-MR</t>
  </si>
  <si>
    <t>Red Energy</t>
    <phoneticPr fontId="7" type="noConversion"/>
  </si>
  <si>
    <t>Living Energy Saver</t>
    <phoneticPr fontId="7" type="noConversion"/>
  </si>
  <si>
    <t>SA-Single</t>
    <phoneticPr fontId="7" type="noConversion"/>
  </si>
  <si>
    <t>https://www.redenergy.com.au/docs/sa_price_fact_sheets/Red-Energy-SA-Living-Energy-Saver-Business-SA-Power.pdf</t>
  </si>
  <si>
    <t>Simply Energy</t>
    <phoneticPr fontId="7" type="noConversion"/>
  </si>
  <si>
    <t>Business Plus Online</t>
    <phoneticPr fontId="7" type="noConversion"/>
  </si>
  <si>
    <t>$50 account credit if signing up online</t>
    <phoneticPr fontId="7" type="noConversion"/>
  </si>
  <si>
    <t>Account credit</t>
    <phoneticPr fontId="7" type="noConversion"/>
  </si>
  <si>
    <t>Not available</t>
  </si>
  <si>
    <t>Unchanged</t>
  </si>
  <si>
    <t>SA Power</t>
    <phoneticPr fontId="7" type="noConversion"/>
  </si>
  <si>
    <t>Controlled</t>
    <phoneticPr fontId="7" type="noConversion"/>
  </si>
  <si>
    <t>AGL</t>
    <phoneticPr fontId="7" type="noConversion"/>
  </si>
  <si>
    <t>SA-Controlled-Seasonal</t>
    <phoneticPr fontId="7" type="noConversion"/>
  </si>
  <si>
    <t>Contract length (months)</t>
  </si>
  <si>
    <t>Exit fee (yes/no)</t>
  </si>
  <si>
    <t>Controlled load</t>
  </si>
  <si>
    <t>Insert peak proportion (%):</t>
  </si>
  <si>
    <t>SmilePower</t>
    <phoneticPr fontId="2" type="noConversion"/>
  </si>
  <si>
    <t>Also available as 2 and 3 years contracts</t>
    <phoneticPr fontId="2" type="noConversion"/>
  </si>
  <si>
    <t>Two rate</t>
    <phoneticPr fontId="2" type="noConversion"/>
  </si>
  <si>
    <t>SA-Two rate</t>
    <phoneticPr fontId="2" type="noConversion"/>
  </si>
  <si>
    <t>Urth Energy</t>
    <phoneticPr fontId="2" type="noConversion"/>
  </si>
  <si>
    <t>Minimum monthly demand charged (kW)</t>
    <phoneticPr fontId="7" type="noConversion"/>
  </si>
  <si>
    <t>SA</t>
    <phoneticPr fontId="7" type="noConversion"/>
  </si>
  <si>
    <t>SA Power</t>
    <phoneticPr fontId="7" type="noConversion"/>
  </si>
  <si>
    <t>Single</t>
    <phoneticPr fontId="7" type="noConversion"/>
  </si>
  <si>
    <t>n</t>
    <phoneticPr fontId="7" type="noConversion"/>
  </si>
  <si>
    <t>nso</t>
    <phoneticPr fontId="7" type="noConversion"/>
  </si>
  <si>
    <t>AGL</t>
    <phoneticPr fontId="7" type="noConversion"/>
  </si>
  <si>
    <t xml:space="preserve">Business Savers </t>
    <phoneticPr fontId="7" type="noConversion"/>
  </si>
  <si>
    <t>quarter</t>
    <phoneticPr fontId="7" type="noConversion"/>
  </si>
  <si>
    <t>SA-Single-Seasonal</t>
    <phoneticPr fontId="7" type="noConversion"/>
  </si>
  <si>
    <t>y</t>
    <phoneticPr fontId="7" type="noConversion"/>
  </si>
  <si>
    <t>s</t>
    <phoneticPr fontId="7" type="noConversion"/>
  </si>
  <si>
    <t>o</t>
    <phoneticPr fontId="7" type="noConversion"/>
  </si>
  <si>
    <t>n</t>
    <phoneticPr fontId="7" type="noConversion"/>
  </si>
  <si>
    <t xml:space="preserve">Account establishment fee applies. </t>
    <phoneticPr fontId="7" type="noConversion"/>
  </si>
  <si>
    <t>https://www.agl.com.au/-/media/AGLData/DistributorData/PDFs/PriceFactSheet_AGL223787MS.pdf</t>
  </si>
  <si>
    <t>Unchanged</t>
    <phoneticPr fontId="7" type="noConversion"/>
  </si>
  <si>
    <t>Single</t>
    <phoneticPr fontId="7" type="noConversion"/>
  </si>
  <si>
    <t>nso</t>
    <phoneticPr fontId="7" type="noConversion"/>
  </si>
  <si>
    <t>Alinta Energy</t>
    <phoneticPr fontId="7" type="noConversion"/>
  </si>
  <si>
    <t>Fair Go Business</t>
    <phoneticPr fontId="7" type="noConversion"/>
  </si>
  <si>
    <t>SA-Single</t>
    <phoneticPr fontId="7" type="noConversion"/>
  </si>
  <si>
    <t>https://alintaenergy.com.au/Alinta/media/Documents/SA-SME-Fair-Go-Business-25-Electricity-Single-Rate-126-Price-Fact-Sheet-JAN2017.pdf</t>
  </si>
  <si>
    <t>Unchanged</t>
    <phoneticPr fontId="7" type="noConversion"/>
  </si>
  <si>
    <t>SA</t>
    <phoneticPr fontId="7" type="noConversion"/>
  </si>
  <si>
    <t>SA Power</t>
    <phoneticPr fontId="7" type="noConversion"/>
  </si>
  <si>
    <t>Single</t>
    <phoneticPr fontId="7" type="noConversion"/>
  </si>
  <si>
    <t>Click Energy</t>
    <phoneticPr fontId="7" type="noConversion"/>
  </si>
  <si>
    <t>Click Business</t>
    <phoneticPr fontId="7" type="noConversion"/>
  </si>
  <si>
    <t>Monthly e-billing</t>
    <phoneticPr fontId="7" type="noConversion"/>
  </si>
  <si>
    <t>https://www.clickenergy.com.au/energy-price-fact-sheets/sa-power-networks/click-business/298/</t>
  </si>
  <si>
    <t>Unchanged</t>
    <phoneticPr fontId="7" type="noConversion"/>
  </si>
  <si>
    <t>n</t>
    <phoneticPr fontId="7" type="noConversion"/>
  </si>
  <si>
    <t>Commander</t>
    <phoneticPr fontId="7" type="noConversion"/>
  </si>
  <si>
    <t>Market offer</t>
    <phoneticPr fontId="7" type="noConversion"/>
  </si>
  <si>
    <t>net</t>
    <phoneticPr fontId="7" type="noConversion"/>
  </si>
  <si>
    <t>Bundling options to receive further discounts</t>
    <phoneticPr fontId="7" type="noConversion"/>
  </si>
  <si>
    <t>https://cpg.commander.com/GeneralPricingInfo/ViewFile/SA%20Power%20Networks%20Business%20Electricity%20Market%20Offer%2001-09-2016-pdf</t>
  </si>
  <si>
    <t>Unchanged</t>
    <phoneticPr fontId="7" type="noConversion"/>
  </si>
  <si>
    <t>Diamond Energy</t>
    <phoneticPr fontId="7" type="noConversion"/>
  </si>
  <si>
    <t>Pay on time discount</t>
    <phoneticPr fontId="7" type="noConversion"/>
  </si>
  <si>
    <t>quarter</t>
    <phoneticPr fontId="7" type="noConversion"/>
  </si>
  <si>
    <t>net</t>
    <phoneticPr fontId="7" type="noConversion"/>
  </si>
  <si>
    <t>o</t>
    <phoneticPr fontId="7" type="noConversion"/>
  </si>
  <si>
    <t>y</t>
    <phoneticPr fontId="7" type="noConversion"/>
  </si>
  <si>
    <t xml:space="preserve">Account establishment fee applies. ETF only applied to the first year </t>
    <phoneticPr fontId="7" type="noConversion"/>
  </si>
  <si>
    <t>http://diamondenergy.com.au/wp-content/uploads/2016/07/DE-Energy-Price-Fact-Sheet-NS-SA-16.pdf</t>
  </si>
  <si>
    <t>Off peak 1st step (kWh)</t>
    <phoneticPr fontId="0" type="noConversion"/>
  </si>
  <si>
    <t xml:space="preserve">Business Savers </t>
    <phoneticPr fontId="2" type="noConversion"/>
  </si>
  <si>
    <t>SA-Single</t>
    <phoneticPr fontId="2" type="noConversion"/>
  </si>
  <si>
    <t>Seasonal tariff with non-seasonal off-peak rate (c/kWh)</t>
    <phoneticPr fontId="0" type="noConversion"/>
  </si>
  <si>
    <t>Pay on time discount</t>
    <phoneticPr fontId="2" type="noConversion"/>
  </si>
  <si>
    <t>EnergyAustralia</t>
    <phoneticPr fontId="2" type="noConversion"/>
  </si>
  <si>
    <t>Everyday Saver Business</t>
    <phoneticPr fontId="2" type="noConversion"/>
  </si>
  <si>
    <t>SA-Single</t>
    <phoneticPr fontId="2" type="noConversion"/>
  </si>
  <si>
    <t>net</t>
    <phoneticPr fontId="2" type="noConversion"/>
  </si>
  <si>
    <t>ERM Power</t>
    <phoneticPr fontId="2" type="noConversion"/>
  </si>
  <si>
    <t>Adjustable</t>
    <phoneticPr fontId="2" type="noConversion"/>
  </si>
  <si>
    <t>SA-Controlled-Seasonal</t>
    <phoneticPr fontId="2" type="noConversion"/>
  </si>
  <si>
    <t>y</t>
    <phoneticPr fontId="2" type="noConversion"/>
  </si>
  <si>
    <t>s</t>
    <phoneticPr fontId="2" type="noConversion"/>
  </si>
  <si>
    <t>o</t>
    <phoneticPr fontId="2" type="noConversion"/>
  </si>
  <si>
    <t>n</t>
    <phoneticPr fontId="2" type="noConversion"/>
  </si>
  <si>
    <t xml:space="preserve">$25 credit if signing up online </t>
    <phoneticPr fontId="2" type="noConversion"/>
  </si>
  <si>
    <t xml:space="preserve">Account establishment fee applies. </t>
    <phoneticPr fontId="2" type="noConversion"/>
  </si>
  <si>
    <t>Single rate</t>
  </si>
  <si>
    <t>AGL</t>
    <phoneticPr fontId="2" type="noConversion"/>
  </si>
  <si>
    <t>quarter</t>
    <phoneticPr fontId="2" type="noConversion"/>
  </si>
  <si>
    <t>net</t>
    <phoneticPr fontId="2" type="noConversion"/>
  </si>
  <si>
    <t>Alinta Energy</t>
    <phoneticPr fontId="2" type="noConversion"/>
  </si>
  <si>
    <t>Fair Go Business</t>
    <phoneticPr fontId="2" type="noConversion"/>
  </si>
  <si>
    <t>SA-Controlled</t>
    <phoneticPr fontId="2" type="noConversion"/>
  </si>
  <si>
    <t>4th block</t>
  </si>
  <si>
    <t>Peak balance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</si>
  <si>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</si>
  <si>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</si>
  <si>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</si>
  <si>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</si>
  <si>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</si>
  <si>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</si>
  <si>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Insert controlled off-peak proportion (%):</t>
  </si>
  <si>
    <t>Insert off-peak proportion (%):</t>
  </si>
  <si>
    <t>Off-Peak</t>
  </si>
  <si>
    <t>n</t>
  </si>
  <si>
    <t>y</t>
  </si>
  <si>
    <t>Two Rate</t>
    <phoneticPr fontId="2" type="noConversion"/>
  </si>
  <si>
    <t>SA-Two Rate-Seasonal</t>
    <phoneticPr fontId="2" type="noConversion"/>
  </si>
  <si>
    <t>Pacific Hydro</t>
    <phoneticPr fontId="2" type="noConversion"/>
  </si>
  <si>
    <t xml:space="preserve">Business Smart </t>
    <phoneticPr fontId="2" type="noConversion"/>
  </si>
  <si>
    <t>Also available as 3 years contract</t>
    <phoneticPr fontId="2" type="noConversion"/>
  </si>
  <si>
    <t>Single</t>
    <phoneticPr fontId="2" type="noConversion"/>
  </si>
  <si>
    <t>SA-Single-Seasonal</t>
    <phoneticPr fontId="2" type="noConversion"/>
  </si>
  <si>
    <t xml:space="preserve">Account establishment fee applies. ETF only applied to the first year </t>
    <phoneticPr fontId="2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</si>
  <si>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</si>
  <si>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</si>
  <si>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</si>
  <si>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</si>
  <si>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</si>
  <si>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Dedicated account management team</t>
    <phoneticPr fontId="2" type="noConversion"/>
  </si>
  <si>
    <t>Momentum Energy</t>
    <phoneticPr fontId="2" type="noConversion"/>
  </si>
  <si>
    <t>SA</t>
    <phoneticPr fontId="2" type="noConversion"/>
  </si>
  <si>
    <t>SA Power</t>
    <phoneticPr fontId="2" type="noConversion"/>
  </si>
  <si>
    <t>Controlled</t>
    <phoneticPr fontId="2" type="noConversion"/>
  </si>
  <si>
    <t xml:space="preserve">$25 credit if signing up online </t>
    <phoneticPr fontId="2" type="noConversion"/>
  </si>
  <si>
    <t>Account credit</t>
  </si>
  <si>
    <t>Cont' off peak 1st step (kWh)</t>
    <phoneticPr fontId="0" type="noConversion"/>
  </si>
  <si>
    <t>Insert quarterly consumption (kWh):</t>
  </si>
  <si>
    <t>Offer</t>
  </si>
  <si>
    <t>Supply charge</t>
  </si>
  <si>
    <t>1st block</t>
  </si>
  <si>
    <t>2nd block</t>
  </si>
  <si>
    <t>3rd block</t>
  </si>
  <si>
    <t>Bills read quarterly</t>
    <phoneticPr fontId="2" type="noConversion"/>
  </si>
  <si>
    <t>Red Energy</t>
    <phoneticPr fontId="2" type="noConversion"/>
  </si>
  <si>
    <t>Living Energy Saver</t>
    <phoneticPr fontId="2" type="noConversion"/>
  </si>
  <si>
    <t>DD discount off usage (%)</t>
    <phoneticPr fontId="0" type="noConversion"/>
  </si>
  <si>
    <t>ID</t>
  </si>
  <si>
    <t>Timestamp</t>
    <phoneticPr fontId="0" type="noConversion"/>
  </si>
  <si>
    <t>State</t>
    <phoneticPr fontId="0" type="noConversion"/>
  </si>
  <si>
    <t>DB</t>
    <phoneticPr fontId="0" type="noConversion"/>
  </si>
  <si>
    <t>Click Energy</t>
    <phoneticPr fontId="2" type="noConversion"/>
  </si>
  <si>
    <t>Click Business</t>
    <phoneticPr fontId="2" type="noConversion"/>
  </si>
  <si>
    <t>Monthly e-billing</t>
    <phoneticPr fontId="2" type="noConversion"/>
  </si>
  <si>
    <t>Restricted eligibility? (n/so/nso)</t>
    <phoneticPr fontId="0" type="noConversion"/>
  </si>
  <si>
    <t>Solar meter fee (c/day)</t>
  </si>
  <si>
    <t>Retailer</t>
  </si>
  <si>
    <t>Name</t>
    <phoneticPr fontId="0" type="noConversion"/>
  </si>
  <si>
    <t>Commander</t>
    <phoneticPr fontId="2" type="noConversion"/>
  </si>
  <si>
    <t>Market offer</t>
    <phoneticPr fontId="2" type="noConversion"/>
  </si>
  <si>
    <t>Bundling options to receive further discounts</t>
    <phoneticPr fontId="2" type="noConversion"/>
  </si>
  <si>
    <t>Peak 2nd step (kWh)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</si>
  <si>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</si>
  <si>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</si>
  <si>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</si>
  <si>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Off peak 3rd step (kWh)</t>
    <phoneticPr fontId="0" type="noConversion"/>
  </si>
  <si>
    <t>Off peak 4th rate (c/kWh)</t>
    <phoneticPr fontId="0" type="noConversion"/>
  </si>
  <si>
    <t>Annual bill incl guaranteed discounts (incl GST)</t>
    <phoneticPr fontId="2" type="noConversion"/>
  </si>
  <si>
    <t xml:space="preserve">Account establishment fee applies. </t>
    <phoneticPr fontId="2" type="noConversion"/>
  </si>
  <si>
    <t>Other Direct Debit Incentive (y/n)</t>
    <phoneticPr fontId="0" type="noConversion"/>
  </si>
  <si>
    <t>Service fee ($ per month)</t>
    <phoneticPr fontId="0" type="noConversion"/>
  </si>
  <si>
    <t>SA</t>
    <phoneticPr fontId="2" type="noConversion"/>
  </si>
  <si>
    <t>SA Power</t>
    <phoneticPr fontId="2" type="noConversion"/>
  </si>
  <si>
    <t>Controlled load balance</t>
    <phoneticPr fontId="2" type="noConversion"/>
  </si>
  <si>
    <t>s</t>
    <phoneticPr fontId="2" type="noConversion"/>
  </si>
  <si>
    <t>o</t>
    <phoneticPr fontId="2" type="noConversion"/>
  </si>
  <si>
    <t>SOUTH AUSTRALIA, SA POWER NETWORKS</t>
    <phoneticPr fontId="2" type="noConversion"/>
  </si>
  <si>
    <t>Cont' off peak 2nd rate</t>
    <phoneticPr fontId="0" type="noConversion"/>
  </si>
  <si>
    <t>Controlled</t>
    <phoneticPr fontId="2" type="noConversion"/>
  </si>
  <si>
    <t>n</t>
    <phoneticPr fontId="2" type="noConversion"/>
  </si>
  <si>
    <t>quarter</t>
    <phoneticPr fontId="2" type="noConversion"/>
  </si>
  <si>
    <t>y</t>
    <phoneticPr fontId="2" type="noConversion"/>
  </si>
  <si>
    <t>Lumo Energy</t>
    <phoneticPr fontId="2" type="noConversion"/>
  </si>
  <si>
    <t>Business Premium</t>
    <phoneticPr fontId="2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</si>
  <si>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</si>
  <si>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</si>
  <si>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Shoulder Capacity charge  (c/kVA/day)</t>
    <phoneticPr fontId="0" type="noConversion"/>
  </si>
  <si>
    <t>Off-peak Capacity charge  (c/kVA/day)</t>
    <phoneticPr fontId="0" type="noConversion"/>
  </si>
  <si>
    <t>Quarterly read</t>
    <phoneticPr fontId="2" type="noConversion"/>
  </si>
  <si>
    <t>Green (y/n/o)</t>
    <phoneticPr fontId="0" type="noConversion"/>
  </si>
  <si>
    <t>Green note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</si>
  <si>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</si>
  <si>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</si>
  <si>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</si>
  <si>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Simply Energy</t>
    <phoneticPr fontId="2" type="noConversion"/>
  </si>
  <si>
    <t>Guaranteed</t>
    <phoneticPr fontId="2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</si>
  <si>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</si>
  <si>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</si>
  <si>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</si>
  <si>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</si>
  <si>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Origin Energy</t>
    <phoneticPr fontId="2" type="noConversion"/>
  </si>
  <si>
    <t>Business Saver</t>
    <phoneticPr fontId="2" type="noConversion"/>
  </si>
  <si>
    <t>Also available with 2 years benefit period</t>
    <phoneticPr fontId="2" type="noConversion"/>
  </si>
  <si>
    <t>Supply (c/day)</t>
  </si>
  <si>
    <t>Seasonal: peak/ off-peak rate (c/kWh)</t>
    <phoneticPr fontId="0" type="noConversion"/>
  </si>
  <si>
    <t>Off-peak rate (c/kWh)</t>
    <phoneticPr fontId="0" type="noConversion"/>
  </si>
  <si>
    <t>Single or peak rate (c/kWh)</t>
    <phoneticPr fontId="0" type="noConversion"/>
  </si>
  <si>
    <t>block type</t>
  </si>
  <si>
    <t>Peak 1st step (kWh)</t>
    <phoneticPr fontId="0" type="noConversion"/>
  </si>
  <si>
    <t>Peak 2nd rate (c/kWh)</t>
    <phoneticPr fontId="0" type="noConversion"/>
  </si>
  <si>
    <t>Powerdirect</t>
    <phoneticPr fontId="2" type="noConversion"/>
  </si>
  <si>
    <t>Diamond Energy</t>
    <phoneticPr fontId="2" type="noConversion"/>
  </si>
  <si>
    <t>Annual bill incl conditional discounts (incl GST)</t>
    <phoneticPr fontId="2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</si>
  <si>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</si>
  <si>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</si>
  <si>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</si>
  <si>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Shoulder (c/kWh)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</si>
  <si>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</si>
  <si>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</si>
  <si>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</si>
  <si>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Off-peak/ Off-peak rate (c/kWh)</t>
    <phoneticPr fontId="0" type="noConversion"/>
  </si>
  <si>
    <t>Cont' off peak</t>
    <phoneticPr fontId="0" type="noConversion"/>
  </si>
  <si>
    <t>nso</t>
    <phoneticPr fontId="2" type="noConversion"/>
  </si>
  <si>
    <t>AGL</t>
    <phoneticPr fontId="2" type="noConversion"/>
  </si>
  <si>
    <t xml:space="preserve">Business Savers </t>
    <phoneticPr fontId="2" type="noConversion"/>
  </si>
  <si>
    <t>Time structure Code</t>
    <phoneticPr fontId="0" type="noConversion"/>
  </si>
  <si>
    <t>Seasonal? (y/n)</t>
    <phoneticPr fontId="0" type="noConversion"/>
  </si>
  <si>
    <t>Summer or winter peak (s/w)</t>
    <phoneticPr fontId="0" type="noConversion"/>
  </si>
  <si>
    <t>Number of peak months</t>
    <phoneticPr fontId="0" type="noConversion"/>
  </si>
  <si>
    <t>solar (net/gross)</t>
  </si>
  <si>
    <t>FIT (c/kWh)</t>
    <phoneticPr fontId="0" type="noConversion"/>
  </si>
  <si>
    <t>SA</t>
    <phoneticPr fontId="2" type="noConversion"/>
  </si>
  <si>
    <t>SA Power</t>
    <phoneticPr fontId="2" type="noConversion"/>
  </si>
  <si>
    <t>Controlled</t>
    <phoneticPr fontId="2" type="noConversion"/>
  </si>
  <si>
    <t>POT discount off usage (%)</t>
    <phoneticPr fontId="0" type="noConversion"/>
  </si>
  <si>
    <t>DD discount off bill (%)</t>
    <phoneticPr fontId="0" type="noConversion"/>
  </si>
  <si>
    <t>AGL</t>
  </si>
  <si>
    <t>Alinta Energy</t>
  </si>
  <si>
    <t>Click Energy</t>
  </si>
  <si>
    <t>Commander</t>
  </si>
  <si>
    <t>Diamond Energy</t>
  </si>
  <si>
    <t>EnergyAustralia</t>
  </si>
  <si>
    <t>Lumo Energy</t>
  </si>
  <si>
    <t>Momentum Energy</t>
  </si>
  <si>
    <t>Origin Energy</t>
  </si>
  <si>
    <t>Powerdirect</t>
  </si>
  <si>
    <t>Red Energy</t>
  </si>
  <si>
    <t>Simply Energy</t>
  </si>
  <si>
    <t>Peak 3rd rate (c/kWh)</t>
    <phoneticPr fontId="0" type="noConversion"/>
  </si>
  <si>
    <t>Peak 3rd step (kWh)</t>
    <phoneticPr fontId="0" type="noConversion"/>
  </si>
  <si>
    <t>Peak 4th rate (c/kWh)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</si>
  <si>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</si>
  <si>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</si>
  <si>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</si>
  <si>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</si>
  <si>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SA</t>
    <phoneticPr fontId="8" type="noConversion"/>
  </si>
  <si>
    <t>SA Power</t>
    <phoneticPr fontId="8" type="noConversion"/>
  </si>
  <si>
    <t>Single</t>
    <phoneticPr fontId="8" type="noConversion"/>
  </si>
  <si>
    <t>n</t>
    <phoneticPr fontId="8" type="noConversion"/>
  </si>
  <si>
    <t>nso</t>
    <phoneticPr fontId="8" type="noConversion"/>
  </si>
  <si>
    <t>AGL</t>
    <phoneticPr fontId="8" type="noConversion"/>
  </si>
  <si>
    <t xml:space="preserve">Business Savers </t>
    <phoneticPr fontId="8" type="noConversion"/>
  </si>
  <si>
    <t>SA-Single</t>
    <phoneticPr fontId="8" type="noConversion"/>
  </si>
  <si>
    <t>o</t>
    <phoneticPr fontId="8" type="noConversion"/>
  </si>
  <si>
    <t>n</t>
    <phoneticPr fontId="8" type="noConversion"/>
  </si>
  <si>
    <t>Single</t>
    <phoneticPr fontId="8" type="noConversion"/>
  </si>
  <si>
    <t>Alinta Energy</t>
    <phoneticPr fontId="8" type="noConversion"/>
  </si>
  <si>
    <t>Business Saver</t>
  </si>
  <si>
    <t>quarter</t>
    <phoneticPr fontId="8" type="noConversion"/>
  </si>
  <si>
    <t>SA</t>
    <phoneticPr fontId="8" type="noConversion"/>
  </si>
  <si>
    <t>nso</t>
    <phoneticPr fontId="8" type="noConversion"/>
  </si>
  <si>
    <t>Click Energy</t>
    <phoneticPr fontId="8" type="noConversion"/>
  </si>
  <si>
    <t>Click Business</t>
    <phoneticPr fontId="8" type="noConversion"/>
  </si>
  <si>
    <t>Monthly e-billing</t>
    <phoneticPr fontId="8" type="noConversion"/>
  </si>
  <si>
    <t>y</t>
    <phoneticPr fontId="8" type="noConversion"/>
  </si>
  <si>
    <t>Commander</t>
    <phoneticPr fontId="8" type="noConversion"/>
  </si>
  <si>
    <t>Market offer</t>
    <phoneticPr fontId="8" type="noConversion"/>
  </si>
  <si>
    <t>SA-Single</t>
    <phoneticPr fontId="8" type="noConversion"/>
  </si>
  <si>
    <t>net</t>
    <phoneticPr fontId="8" type="noConversion"/>
  </si>
  <si>
    <t>Bundling options to receive further discounts</t>
    <phoneticPr fontId="8" type="noConversion"/>
  </si>
  <si>
    <t>n</t>
    <phoneticPr fontId="8" type="noConversion"/>
  </si>
  <si>
    <t>Diamond Energy</t>
    <phoneticPr fontId="8" type="noConversion"/>
  </si>
  <si>
    <t>Pay on time discount</t>
    <phoneticPr fontId="8" type="noConversion"/>
  </si>
  <si>
    <t>quarter</t>
    <phoneticPr fontId="8" type="noConversion"/>
  </si>
  <si>
    <t>net</t>
    <phoneticPr fontId="8" type="noConversion"/>
  </si>
  <si>
    <t>o</t>
    <phoneticPr fontId="8" type="noConversion"/>
  </si>
  <si>
    <t>y</t>
    <phoneticPr fontId="8" type="noConversion"/>
  </si>
  <si>
    <t xml:space="preserve">Account establishment fee applies. ETF only applied to the first year </t>
    <phoneticPr fontId="8" type="noConversion"/>
  </si>
  <si>
    <t>SA Power</t>
    <phoneticPr fontId="8" type="noConversion"/>
  </si>
  <si>
    <t>EnergyAustralia</t>
    <phoneticPr fontId="8" type="noConversion"/>
  </si>
  <si>
    <t>Everyday Saver Business</t>
    <phoneticPr fontId="8" type="noConversion"/>
  </si>
  <si>
    <t>SA-Single</t>
    <phoneticPr fontId="8" type="noConversion"/>
  </si>
  <si>
    <t>net</t>
    <phoneticPr fontId="8" type="noConversion"/>
  </si>
  <si>
    <t>o</t>
    <phoneticPr fontId="8" type="noConversion"/>
  </si>
  <si>
    <t>Single</t>
    <phoneticPr fontId="8" type="noConversion"/>
  </si>
  <si>
    <t>ERM Power</t>
    <phoneticPr fontId="8" type="noConversion"/>
  </si>
  <si>
    <t>Adjustable</t>
    <phoneticPr fontId="8" type="noConversion"/>
  </si>
  <si>
    <t>Single</t>
    <phoneticPr fontId="8" type="noConversion"/>
  </si>
  <si>
    <t>y</t>
    <phoneticPr fontId="8" type="noConversion"/>
  </si>
  <si>
    <t>Business Premium</t>
  </si>
  <si>
    <t>net</t>
    <phoneticPr fontId="8" type="noConversion"/>
  </si>
  <si>
    <t>o</t>
  </si>
  <si>
    <t>Momentum Energy</t>
    <phoneticPr fontId="8" type="noConversion"/>
  </si>
  <si>
    <t>SmilePower</t>
    <phoneticPr fontId="8" type="noConversion"/>
  </si>
  <si>
    <t>Also available as 2 and 3 years contracts</t>
    <phoneticPr fontId="8" type="noConversion"/>
  </si>
  <si>
    <t>y</t>
    <phoneticPr fontId="8" type="noConversion"/>
  </si>
  <si>
    <t>Origin Energy</t>
    <phoneticPr fontId="8" type="noConversion"/>
  </si>
  <si>
    <t>Business Saver</t>
    <phoneticPr fontId="8" type="noConversion"/>
  </si>
  <si>
    <t>y</t>
    <phoneticPr fontId="8" type="noConversion"/>
  </si>
  <si>
    <t>Also available with 2 years benefit period</t>
    <phoneticPr fontId="8" type="noConversion"/>
  </si>
  <si>
    <t>Powerdirect</t>
    <phoneticPr fontId="8" type="noConversion"/>
  </si>
  <si>
    <t>Quarterly read</t>
    <phoneticPr fontId="8" type="noConversion"/>
  </si>
  <si>
    <t>n</t>
    <phoneticPr fontId="8" type="noConversion"/>
  </si>
  <si>
    <t>Bills read quarterly</t>
    <phoneticPr fontId="8" type="noConversion"/>
  </si>
  <si>
    <t>n</t>
    <phoneticPr fontId="8" type="noConversion"/>
  </si>
  <si>
    <t>Red Energy</t>
    <phoneticPr fontId="8" type="noConversion"/>
  </si>
  <si>
    <t>No exit fee saver</t>
    <phoneticPr fontId="8" type="noConversion"/>
  </si>
  <si>
    <t>SA</t>
  </si>
  <si>
    <t>SA Power</t>
  </si>
  <si>
    <t>Single</t>
  </si>
  <si>
    <t>Business Plus Online</t>
    <phoneticPr fontId="8" type="noConversion"/>
  </si>
  <si>
    <t>SA-Single</t>
  </si>
  <si>
    <t>net</t>
  </si>
  <si>
    <t>n</t>
    <phoneticPr fontId="8" type="noConversion"/>
  </si>
  <si>
    <t>$50 account credit if signing up online</t>
    <phoneticPr fontId="8" type="noConversion"/>
  </si>
  <si>
    <t>Account credit</t>
    <phoneticPr fontId="8" type="noConversion"/>
  </si>
  <si>
    <t>n</t>
    <phoneticPr fontId="8" type="noConversion"/>
  </si>
  <si>
    <t>Blue NRG</t>
    <phoneticPr fontId="8" type="noConversion"/>
  </si>
  <si>
    <t>Monthly billing</t>
    <phoneticPr fontId="8" type="noConversion"/>
  </si>
  <si>
    <t>SA Power</t>
    <phoneticPr fontId="8" type="noConversion"/>
  </si>
  <si>
    <t>n</t>
    <phoneticPr fontId="8" type="noConversion"/>
  </si>
  <si>
    <t>Q Energy</t>
    <phoneticPr fontId="8" type="noConversion"/>
  </si>
  <si>
    <t>Flexi Biz</t>
  </si>
  <si>
    <t>SA Power</t>
    <phoneticPr fontId="8" type="noConversion"/>
  </si>
  <si>
    <t>Controlled</t>
    <phoneticPr fontId="8" type="noConversion"/>
  </si>
  <si>
    <t>AGL</t>
    <phoneticPr fontId="8" type="noConversion"/>
  </si>
  <si>
    <t>SA-Controlled</t>
    <phoneticPr fontId="8" type="noConversion"/>
  </si>
  <si>
    <t>Controlled</t>
    <phoneticPr fontId="8" type="noConversion"/>
  </si>
  <si>
    <t>SA-Controlled</t>
    <phoneticPr fontId="8" type="noConversion"/>
  </si>
  <si>
    <t>Controlled</t>
    <phoneticPr fontId="8" type="noConversion"/>
  </si>
  <si>
    <t>SA-Controlled</t>
    <phoneticPr fontId="8" type="noConversion"/>
  </si>
  <si>
    <t>Controlled</t>
    <phoneticPr fontId="8" type="noConversion"/>
  </si>
  <si>
    <t>Controlled</t>
    <phoneticPr fontId="8" type="noConversion"/>
  </si>
  <si>
    <t>Controlled</t>
  </si>
  <si>
    <t>SA-Controlled</t>
  </si>
  <si>
    <t>$50 account credit if signing up online</t>
    <phoneticPr fontId="8" type="noConversion"/>
  </si>
  <si>
    <t>Two Rate</t>
    <phoneticPr fontId="8" type="noConversion"/>
  </si>
  <si>
    <t>SA-Two rate</t>
    <phoneticPr fontId="8" type="noConversion"/>
  </si>
  <si>
    <t>Two rate</t>
    <phoneticPr fontId="8" type="noConversion"/>
  </si>
  <si>
    <t>Two Rate</t>
    <phoneticPr fontId="8" type="noConversion"/>
  </si>
  <si>
    <t>Two Rate</t>
    <phoneticPr fontId="8" type="noConversion"/>
  </si>
  <si>
    <t>Two Rate</t>
    <phoneticPr fontId="8" type="noConversion"/>
  </si>
  <si>
    <t>EnergyAustralia</t>
    <phoneticPr fontId="8" type="noConversion"/>
  </si>
  <si>
    <t>SA-Two rate</t>
    <phoneticPr fontId="8" type="noConversion"/>
  </si>
  <si>
    <t>Two Rate</t>
    <phoneticPr fontId="8" type="noConversion"/>
  </si>
  <si>
    <t>SA-Two rate</t>
    <phoneticPr fontId="8" type="noConversion"/>
  </si>
  <si>
    <t>SA-Two rate</t>
    <phoneticPr fontId="8" type="noConversion"/>
  </si>
  <si>
    <t>Two Rate</t>
  </si>
  <si>
    <t>SA-Two rate</t>
  </si>
  <si>
    <t>Blue NRG</t>
  </si>
  <si>
    <t>Price fix (months)</t>
  </si>
  <si>
    <t>Price fix (date)</t>
  </si>
  <si>
    <t>https://www.agl.com.au/-/media/AGLData/DistributorData/PDFs/PriceFactSheet_AGL441484MS.pdf</t>
  </si>
  <si>
    <t>https://alintaenergy.com.au/sapricing</t>
  </si>
  <si>
    <t>https://cpg.commander.com/GeneralPricingInfo/ViewFile/SA%20Power%20Networks%20Business%20Electricity%20Market%20Offer%2010-08-2017-pdf</t>
  </si>
  <si>
    <t>https://www.ermpower.com.au/wp-content/uploads/2017/06/PFS_20170601_SA_ADJUST.pdf</t>
  </si>
  <si>
    <t>https://lumoenergy.com.au/~/media/lumo-energy/pdfs/pfs%20housing%20missing%20pdf/20170701_pfs_sa_lumo_business_premium.ashx</t>
  </si>
  <si>
    <t>https://www.momentumenergy.com.au/docs/default-source/price-sheets/sa-smilepower-sme-sapower.pdf?sfvrsn=48</t>
  </si>
  <si>
    <t>http://www.powerdirect.com.au/src/</t>
  </si>
  <si>
    <t>No exit fee saver</t>
    <phoneticPr fontId="7" type="noConversion"/>
  </si>
  <si>
    <t>https://www.redenergy.com.au/docs/sa_price_fact_sheets/Red-Energy-SA-Easy-Saver-No-Exit-Fee-Business-SA-Power.pdf</t>
  </si>
  <si>
    <t>Blue NRG</t>
    <phoneticPr fontId="7" type="noConversion"/>
  </si>
  <si>
    <t>Super Saver</t>
  </si>
  <si>
    <t>Monthly billing</t>
    <phoneticPr fontId="7" type="noConversion"/>
  </si>
  <si>
    <t>Q Energy</t>
    <phoneticPr fontId="7" type="noConversion"/>
  </si>
  <si>
    <t>Market Rate</t>
  </si>
  <si>
    <t>http://www.qenergy.com.au/flux-content/qenergy/pdf/2017/SA-Power-Networks-Market-Rate-Offer-Biz.pdf</t>
  </si>
  <si>
    <t>Amaysim</t>
  </si>
  <si>
    <t>Business 1</t>
  </si>
  <si>
    <t>Monthly billing.</t>
  </si>
  <si>
    <t>https://www.amaysim.com.au/energy/energy-price-fact-sheets/sa-power-networks/business-1/102</t>
  </si>
  <si>
    <t>https://www.agl.com.au/-/media/AGLData/DistributorData/PDFs/PriceFactSheet_AGL441487MS.pdf</t>
  </si>
  <si>
    <t>https://www.agl.com.au/-/media/AGLData/DistributorData/PDFs/PriceFactSheet_AGL441606MS.pdf</t>
  </si>
  <si>
    <t>Two rate</t>
    <phoneticPr fontId="7" type="noConversion"/>
  </si>
  <si>
    <t>Click Business Plus</t>
  </si>
  <si>
    <t>https://diamondenergy.com.au/wp-content/uploads/2018/07/DER-Energy-Price-Fact-Sheet_SB_SA_18_07.pdf</t>
  </si>
  <si>
    <t>Market offer</t>
  </si>
  <si>
    <t>Business Plus</t>
    <phoneticPr fontId="7" type="noConversion"/>
  </si>
  <si>
    <t>Flexi Saver Biz</t>
  </si>
  <si>
    <t>Monthly billing</t>
  </si>
  <si>
    <t>Next Business Energy</t>
    <phoneticPr fontId="7" type="noConversion"/>
  </si>
  <si>
    <t>Pay on time</t>
  </si>
  <si>
    <t>New</t>
  </si>
  <si>
    <t>SA</t>
    <phoneticPr fontId="9" type="noConversion"/>
  </si>
  <si>
    <t>SA Power Networks</t>
  </si>
  <si>
    <t>Single</t>
    <phoneticPr fontId="9" type="noConversion"/>
  </si>
  <si>
    <t>y</t>
    <phoneticPr fontId="9" type="noConversion"/>
  </si>
  <si>
    <t>n</t>
    <phoneticPr fontId="9" type="noConversion"/>
  </si>
  <si>
    <t>AGL</t>
    <phoneticPr fontId="9" type="noConversion"/>
  </si>
  <si>
    <t xml:space="preserve">Business Savers </t>
    <phoneticPr fontId="9" type="noConversion"/>
  </si>
  <si>
    <t>SA-Single</t>
    <phoneticPr fontId="9" type="noConversion"/>
  </si>
  <si>
    <t>net</t>
    <phoneticPr fontId="9" type="noConversion"/>
  </si>
  <si>
    <t>o</t>
    <phoneticPr fontId="9" type="noConversion"/>
  </si>
  <si>
    <t>Alinta Energy</t>
    <phoneticPr fontId="9" type="noConversion"/>
  </si>
  <si>
    <t>Corporate Saver</t>
  </si>
  <si>
    <t>quarter</t>
    <phoneticPr fontId="9" type="noConversion"/>
  </si>
  <si>
    <t>Click Energy</t>
    <phoneticPr fontId="9" type="noConversion"/>
  </si>
  <si>
    <t xml:space="preserve">Click Business </t>
  </si>
  <si>
    <t>Monthly e-billing</t>
    <phoneticPr fontId="9" type="noConversion"/>
  </si>
  <si>
    <t>Commander</t>
    <phoneticPr fontId="9" type="noConversion"/>
  </si>
  <si>
    <t>Market offer</t>
    <phoneticPr fontId="9" type="noConversion"/>
  </si>
  <si>
    <t>Bundling options to receive further discounts</t>
    <phoneticPr fontId="9" type="noConversion"/>
  </si>
  <si>
    <t>Unchanged</t>
    <phoneticPr fontId="9" type="noConversion"/>
  </si>
  <si>
    <t>Diamond Energy</t>
    <phoneticPr fontId="9" type="noConversion"/>
  </si>
  <si>
    <t>Pay on time discount</t>
    <phoneticPr fontId="9" type="noConversion"/>
  </si>
  <si>
    <t xml:space="preserve">Account establishment fee applies. ETF only applied to the first year </t>
    <phoneticPr fontId="9" type="noConversion"/>
  </si>
  <si>
    <t>EnergyAustralia</t>
    <phoneticPr fontId="9" type="noConversion"/>
  </si>
  <si>
    <t>Everyday Saver Business</t>
    <phoneticPr fontId="9" type="noConversion"/>
  </si>
  <si>
    <t>Value</t>
  </si>
  <si>
    <t>$50 credit if signing up online</t>
  </si>
  <si>
    <t>Account credit</t>
    <phoneticPr fontId="9" type="noConversion"/>
  </si>
  <si>
    <t>Momentum Energy</t>
    <phoneticPr fontId="9" type="noConversion"/>
  </si>
  <si>
    <t>SmilePower Flexi</t>
    <phoneticPr fontId="9" type="noConversion"/>
  </si>
  <si>
    <t>Origin Energy</t>
    <phoneticPr fontId="9" type="noConversion"/>
  </si>
  <si>
    <t>Business Saver</t>
    <phoneticPr fontId="9" type="noConversion"/>
  </si>
  <si>
    <t>Also available with 2 years benefit period</t>
    <phoneticPr fontId="9" type="noConversion"/>
  </si>
  <si>
    <t>Powerdirect</t>
    <phoneticPr fontId="9" type="noConversion"/>
  </si>
  <si>
    <t>Red Energy</t>
    <phoneticPr fontId="9" type="noConversion"/>
  </si>
  <si>
    <t>No exit fee saver</t>
    <phoneticPr fontId="9" type="noConversion"/>
  </si>
  <si>
    <t>Simply Energy</t>
    <phoneticPr fontId="9" type="noConversion"/>
  </si>
  <si>
    <t>Business Plus</t>
    <phoneticPr fontId="9" type="noConversion"/>
  </si>
  <si>
    <t>$50 account credit if signing up online</t>
    <phoneticPr fontId="9" type="noConversion"/>
  </si>
  <si>
    <t>Not available</t>
    <phoneticPr fontId="9" type="noConversion"/>
  </si>
  <si>
    <t>Blue NRG</t>
    <phoneticPr fontId="9" type="noConversion"/>
  </si>
  <si>
    <t>Monthly billing</t>
    <phoneticPr fontId="9" type="noConversion"/>
  </si>
  <si>
    <t>Powershop</t>
  </si>
  <si>
    <t>Autopay with Power Saver</t>
  </si>
  <si>
    <t>To qualify for Pay on Time discount you must log in to Powershop at least once a month and buy enough of the Power Saver to cover your usage for your Account Review period. Monthly online payment</t>
  </si>
  <si>
    <t>Business as you go</t>
  </si>
  <si>
    <t>Next Business Energy</t>
    <phoneticPr fontId="9" type="noConversion"/>
  </si>
  <si>
    <t>nso</t>
  </si>
  <si>
    <t>Power Club</t>
  </si>
  <si>
    <t>Powerbank Business</t>
  </si>
  <si>
    <t>n</t>
    <phoneticPr fontId="5" type="noConversion"/>
  </si>
  <si>
    <t>A refundable contribution to your powerbank of $40 per 1,000 kWh of annual consumption must be paid. Monthly billing.</t>
  </si>
  <si>
    <t>Controlled</t>
    <phoneticPr fontId="9" type="noConversion"/>
  </si>
  <si>
    <t>SA-Controlled</t>
    <phoneticPr fontId="9" type="noConversion"/>
  </si>
  <si>
    <t>Two Rate</t>
    <phoneticPr fontId="9" type="noConversion"/>
  </si>
  <si>
    <t>SA-Two rate</t>
    <phoneticPr fontId="9" type="noConversion"/>
  </si>
  <si>
    <t>Two rate</t>
    <phoneticPr fontId="9" type="noConversion"/>
  </si>
  <si>
    <t>Business Essentials</t>
  </si>
  <si>
    <t>Business Advantage</t>
  </si>
  <si>
    <t>Click Business Start</t>
  </si>
  <si>
    <t>$50 gift card when switching to Click Energy</t>
  </si>
  <si>
    <t>Gift card</t>
  </si>
  <si>
    <t>https://www.energymadeeasy.gov.au/offer/936484</t>
  </si>
  <si>
    <t>https://www.energymadeeasy.gov.au/offer/1049095?utm_source=Commander+Power+%26+Gas&amp;amp;utm_campaign=bpi-retailer&amp;amp;utm_content=M2E1049095MS</t>
  </si>
  <si>
    <t>Renewable Saver POT</t>
  </si>
  <si>
    <t>quarter</t>
  </si>
  <si>
    <t>https://diamondenergy.com.au/epfs/business/market/sapn-2.pdf</t>
  </si>
  <si>
    <t>Total Plan</t>
  </si>
  <si>
    <t>Basic</t>
  </si>
  <si>
    <t>SmilePower Flexi</t>
  </si>
  <si>
    <t xml:space="preserve">Flexi </t>
  </si>
  <si>
    <t>Discount Saver</t>
  </si>
  <si>
    <t>Red Business Saver</t>
  </si>
  <si>
    <t>Business Plus</t>
  </si>
  <si>
    <t>N</t>
  </si>
  <si>
    <t xml:space="preserve">$30 account credit each anniversary from your supply start date </t>
  </si>
  <si>
    <t>Shopper with Mega Pack</t>
  </si>
  <si>
    <t>https://s3-ap-southeast-2.amazonaws.com/psau-wordpress/wp-content/uploads/2019/06/30212114/PSH-SAPN-90701-MB.pdf</t>
  </si>
  <si>
    <t>Powerclub</t>
  </si>
  <si>
    <t>https://www.energymadeeasy.gov.au/offer/936490</t>
  </si>
  <si>
    <t>https://www.energymadeeasy.gov.au/offer/1049096?utm_source=Commander+Power+%26+Gas&amp;amp;utm_campaign=bpi-retailer&amp;amp;utm_content=M2E1049096MS</t>
  </si>
  <si>
    <t>Two rate</t>
  </si>
  <si>
    <t>https://www.energymadeeasy.gov.au/offer/936651</t>
  </si>
  <si>
    <t>https://www.energymadeeasy.gov.au/offer/1049100?utm_source=Commander+Power+%26+Gas&amp;amp;utm_campaign=bpi-retailer&amp;amp;utm_content=M2E1049100MS</t>
  </si>
  <si>
    <t>Peak FIT (c/kWh)</t>
    <phoneticPr fontId="6" type="noConversion"/>
  </si>
  <si>
    <t>Off-peak FIT (c/kWh)</t>
    <phoneticPr fontId="6" type="noConversion"/>
  </si>
  <si>
    <t>Shoulder FIT (c/kWh)</t>
    <phoneticPr fontId="6" type="noConversion"/>
  </si>
  <si>
    <t>Service fee ($ per annum) (excl GST)</t>
  </si>
  <si>
    <t>Type of discount</t>
  </si>
  <si>
    <t>Discount is inclusive or exclusive of GST</t>
  </si>
  <si>
    <t>Exclusive</t>
  </si>
  <si>
    <t>Annual consumption only</t>
  </si>
  <si>
    <t>Annual bill (incl GST)</t>
  </si>
  <si>
    <t>Annual bill incl guaranteed discounts (excl GST)</t>
    <phoneticPr fontId="2" type="noConversion"/>
  </si>
  <si>
    <t>Annual bill incl conditional discounts (excl GST)</t>
    <phoneticPr fontId="2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</si>
  <si>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</si>
  <si>
    <t>SME Tariff-Tracker</t>
    <phoneticPr fontId="2" type="noConversion"/>
  </si>
  <si>
    <t>SA Workbook 1 - Electricity Market offers</t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</si>
  <si>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</si>
  <si>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</si>
  <si>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</si>
  <si>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</si>
  <si>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</si>
  <si>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changes to SME energy offers in South Australia.  </t>
    <phoneticPr fontId="2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</si>
  <si>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</si>
  <si>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</si>
  <si>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</si>
  <si>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</si>
  <si>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If you would like to obtain information about energy offers available to you as a customer, go to AER’s "Energy Made Easy" website</t>
    <phoneticPr fontId="2" type="noConversion"/>
  </si>
  <si>
    <t>*Electricity market offers as of April 2016, April 2017, October 2017, April 2018, October 2018,</t>
  </si>
  <si>
    <t>www.energymadeeasy.gov.au or contact the energy retailers directly.</t>
    <phoneticPr fontId="2" type="noConversion"/>
  </si>
  <si>
    <t xml:space="preserve">*Analysis of bills (consumption level/pattern variable) </t>
    <phoneticPr fontId="2" type="noConversion"/>
  </si>
  <si>
    <t>ACT Retailers:</t>
    <phoneticPr fontId="2" type="noConversion"/>
  </si>
  <si>
    <t>Tab colours:</t>
  </si>
  <si>
    <t xml:space="preserve">*The spreadsheets are interactive where the user can adjust quarterly consumption (kWh) and peak/off peak  </t>
    <phoneticPr fontId="2" type="noConversion"/>
  </si>
  <si>
    <t>October</t>
  </si>
  <si>
    <t>proportions (%). All red cells contain variables for the user to insert</t>
    <phoneticPr fontId="2" type="noConversion"/>
  </si>
  <si>
    <t>April</t>
  </si>
  <si>
    <t>*As SME electricity offers currently depend on the type of metering installed at the premises,</t>
    <phoneticPr fontId="2" type="noConversion"/>
  </si>
  <si>
    <t>this analysis include the three most common electricity offers based on meter type:</t>
  </si>
  <si>
    <t xml:space="preserve">1) Single rate (also known as flat rate). </t>
    <phoneticPr fontId="2" type="noConversion"/>
  </si>
  <si>
    <t>2) Controlled load (also known as dedicated circuit). Typically used for hot water and heating.</t>
    <phoneticPr fontId="2" type="noConversion"/>
  </si>
  <si>
    <t>3) Two rate tariff (also known as Time of Use/TOU).</t>
    <phoneticPr fontId="2" type="noConversion"/>
  </si>
  <si>
    <t>*All supply charges published as quarterly charges have been divided by 91 days.</t>
  </si>
  <si>
    <t>*All daily inclining block thresholds have been multiplied by 91 to calculate quarterly bills.</t>
    <phoneticPr fontId="2" type="noConversion"/>
  </si>
  <si>
    <t>Source: www.sapowernetworks.com.au</t>
  </si>
  <si>
    <t>Annual bill incl guaranteed discounts</t>
  </si>
  <si>
    <t>Annual bill incl conditional discounts</t>
  </si>
  <si>
    <t>Small Business Electricity Offers</t>
    <phoneticPr fontId="2" type="noConversion"/>
  </si>
  <si>
    <t>Business Essentials Saver</t>
  </si>
  <si>
    <t>https://www.energymadeeasy.gov.au/plan?id=CLI40839MBE&amp;postcode=5000</t>
  </si>
  <si>
    <t>https://www.energymadeeasy.gov.au/plan?id=M2E13243MBE1&amp;postcode=5000</t>
  </si>
  <si>
    <t>https://www.energymadeeasy.gov.au/plan?id=MOM13305MBE&amp;postcode=5000</t>
  </si>
  <si>
    <t>https://www.energymadeeasy.gov.au/plan?id=ORI25126MBE&amp;utm_source=Origin%20Energy&amp;utm_campaign=bpi-retailer&amp;utm_medium=retailer&amp;postcode=5000</t>
  </si>
  <si>
    <t>https://www.energymadeeasy.gov.au/plan?id=POW15444MBE&amp;postcode=5000</t>
  </si>
  <si>
    <t>https://www.energymadeeasy.gov.au/plan?id=RED21500MBE&amp;postcode=5000</t>
  </si>
  <si>
    <t>Blue Essential</t>
  </si>
  <si>
    <t>https://www.energymadeeasy.gov.au/plan?id=BLU24655MBE&amp;utm_source=Blue%20NRG&amp;utm_campaign=bpi-retailer&amp;utm_medium=retailer&amp;postcode=5000</t>
  </si>
  <si>
    <t>https://www.powershop.com.au/app/rates/business/elec/sapower/business-elec-sa-market-offer-tariff-all.pdf?v=1</t>
  </si>
  <si>
    <t>A refundable contribution to your powerbank of $40 per 1,000 kWh of annual consumption must be paid.</t>
  </si>
  <si>
    <t>https://www.energymadeeasy.gov.au/plan?id=PWR41466MBE1&amp;postcode=5000</t>
  </si>
  <si>
    <t>Energy Locals</t>
  </si>
  <si>
    <t>Business Member</t>
  </si>
  <si>
    <t>https://www.energymadeeasy.gov.au/offer/1072864?postcode=5000</t>
  </si>
  <si>
    <t>Future X Power</t>
  </si>
  <si>
    <t>Flexi Saver</t>
  </si>
  <si>
    <t>https://www.energymadeeasy.gov.au/plan?id=FXP13781MBE1&amp;postcode=5000</t>
  </si>
  <si>
    <t>https://www.energymadeeasy.gov.au/plan?id=CLI40846MBE&amp;postcode=5000</t>
  </si>
  <si>
    <t>https://www.energymadeeasy.gov.au/plan?id=M2E13244MBE1&amp;postcode=5000</t>
  </si>
  <si>
    <t>https://www.energymadeeasy.gov.au/plan?id=MOM13285MBE&amp;postcode=5000</t>
  </si>
  <si>
    <t>https://www.energymadeeasy.gov.au/plan?id=ORI25125MBE&amp;utm_source=Origin%20Energy&amp;utm_campaign=bpi-retailer&amp;utm_medium=retailer&amp;postcode=5000</t>
  </si>
  <si>
    <t>https://www.energymadeeasy.gov.au/plan?id=POW15445MBE&amp;postcode=5000</t>
  </si>
  <si>
    <t>https://www.energymadeeasy.gov.au/plan?id=RED21499MBE&amp;postcode=5000</t>
  </si>
  <si>
    <t>https://www.energymadeeasy.gov.au/plan?id=BLU24654MBE&amp;postcode=5000</t>
  </si>
  <si>
    <t>https://www.energymadeeasy.gov.au/offer/1072863</t>
  </si>
  <si>
    <t>https://www.energymadeeasy.gov.au/plan?id=FXP13780MBE1&amp;postcode=5000</t>
  </si>
  <si>
    <t>https://www.energymadeeasy.gov.au/plan?id=CLI40842MBE&amp;postcode=5000</t>
  </si>
  <si>
    <t>https://www.energymadeeasy.gov.au/plan?id=M2E14463MBE1&amp;postcode=5000</t>
  </si>
  <si>
    <t>https://www.energymadeeasy.gov.au/plan?id=MOM13636MBE&amp;postcode=5000</t>
  </si>
  <si>
    <t>https://www.energymadeeasy.gov.au/plan?id=ORI25327MBE&amp;utm_source=Origin%20Energy&amp;utm_campaign=bpi-retailer&amp;utm_medium=retailer&amp;postcode=5000</t>
  </si>
  <si>
    <t>https://www.energymadeeasy.gov.au/plan?id=POW15465MBE&amp;utm_source=Powerdirect&amp;utm_campaign=bpi-retailer&amp;utm_medium=retailer&amp;postcode=5000</t>
  </si>
  <si>
    <t>https://www.energymadeeasy.gov.au/plan?id=RED21773MBE&amp;postcode=5000</t>
  </si>
  <si>
    <t>https://www.energymadeeasy.gov.au/plan?id=BLU24429MBE&amp;utm_source=Blue%20NRG&amp;utm_campaign=bpi-retailer&amp;utm_medium=retailer&amp;postcode=5000</t>
  </si>
  <si>
    <t>https://www.energymadeeasy.gov.au/plan?id=PWR41425MBE1&amp;postcode=5000</t>
  </si>
  <si>
    <t>Single+Demand</t>
  </si>
  <si>
    <t>https://www.energymadeeasy.gov.au/plan?id=LUM19140MBE&amp;postcode=5000</t>
  </si>
  <si>
    <t>https://www.energymadeeasy.gov.au/plan?id=LUM19141MBE&amp;postcode=5000</t>
  </si>
  <si>
    <t>SA-Demand-Seasonal-TOU</t>
  </si>
  <si>
    <t>s</t>
  </si>
  <si>
    <t>https://www.energymadeeasy.gov.au/plan?id=AGL15390MBE&amp;postcode=5000</t>
  </si>
  <si>
    <t>https://www.energymadeeasy.gov.au/plan?id=ALI13099MBE&amp;postcode=5000</t>
  </si>
  <si>
    <t>Click Business Pin</t>
  </si>
  <si>
    <t>https://www.energymadeeasy.gov.au/plan?id=CLI65366MBE&amp;postcode=5000</t>
  </si>
  <si>
    <t>https://www.energymadeeasy.gov.au/plan?id=M2E13243MBE&amp;postcode=5000</t>
  </si>
  <si>
    <t>https://www.energymadeeasy.gov.au/plan?id=DIA34665MBE&amp;postcode=5000</t>
  </si>
  <si>
    <t>https://www.energymadeeasy.gov.au/plan?id=ENE32430MBE&amp;utm_source=EnergyAustralia&amp;utm_campaign=bpi-retailer&amp;utm_medium=retailer&amp;postcode=5000</t>
  </si>
  <si>
    <t>https://www.energymadeeasy.gov.au/plan?id=MOM89727MBE&amp;postcode=5000</t>
  </si>
  <si>
    <t>https://www.energymadeeasy.gov.au/plan?id=ORI25126MBE&amp;postcode=5000</t>
  </si>
  <si>
    <t>Business Rate Saver</t>
  </si>
  <si>
    <t>https://www.energymadeeasy.gov.au/plan?id=SIM134256MBD&amp;postcode=5000</t>
  </si>
  <si>
    <t>Blue Saver</t>
  </si>
  <si>
    <t>Bis Flat</t>
  </si>
  <si>
    <t>https://www.energymadeeasy.gov.au/plan?id=PWR93282MBE&amp;postcode=5000</t>
  </si>
  <si>
    <t xml:space="preserve">Solar FiT is 16c/kWh for first 10kWh/day, after which 8.50c/kWh. </t>
  </si>
  <si>
    <t>https://www.energymadeeasy.gov.au/plan?id=LCL112017MBE&amp;postcode=5000</t>
  </si>
  <si>
    <t>Business Smart</t>
  </si>
  <si>
    <t>https://www.energymadeeasy.gov.au/plan?id=FXP103010MBE&amp;postcode=5000</t>
  </si>
  <si>
    <t>https://www.energymadeeasy.gov.au/plan?id=AGL15391MBE&amp;postcode=5000</t>
  </si>
  <si>
    <t>https://www.energymadeeasy.gov.au/plan?id=ALI13065MBE&amp;postcode=5000</t>
  </si>
  <si>
    <t>https://www.energymadeeasy.gov.au/plan?id=CLI65387MBE&amp;postcode=5000</t>
  </si>
  <si>
    <t>https://www.energymadeeasy.gov.au/plan?id=M2E13244MBE&amp;postcode=5000</t>
  </si>
  <si>
    <t>https://www.energymadeeasy.gov.au/plan?id=DIA34666MBE&amp;postcode=5000</t>
  </si>
  <si>
    <t>https://www.energymadeeasy.gov.au/plan?id=ENE32429MBE&amp;utm_source=EnergyAustralia&amp;utm_campaign=bpi-retailer&amp;utm_medium=retailer&amp;postcode=5000</t>
  </si>
  <si>
    <t>https://www.energymadeeasy.gov.au/plan?id=MOM89729MBE&amp;postcode=5000</t>
  </si>
  <si>
    <t>https://www.energymadeeasy.gov.au/plan?id=ORI25125MBE&amp;postcode=5000</t>
  </si>
  <si>
    <t>https://www.energymadeeasy.gov.au/plan?id=SIM134257MBD&amp;postcode=5000</t>
  </si>
  <si>
    <t>https://www.energymadeeasy.gov.au/plan?id=LCL112033MBE&amp;postcode=5000</t>
  </si>
  <si>
    <t>https://www.energymadeeasy.gov.au/plan?id=FXP103011MBE&amp;postcode=5000</t>
  </si>
  <si>
    <t>https://www.energymadeeasy.gov.au/plan?id=AGL15423MBE&amp;postcode=5000</t>
  </si>
  <si>
    <t>https://www.energymadeeasy.gov.au/plan?id=ALI13103MBE&amp;utm_source=Alinta%20Energy&amp;utm_campaign=bpi-retailer&amp;utm_medium=retailer&amp;postcode=5000</t>
  </si>
  <si>
    <t>https://www.energymadeeasy.gov.au/plan?id=CLI65356MBE&amp;postcode=5000</t>
  </si>
  <si>
    <t>https://www.energymadeeasy.gov.au/plan?id=M2E14463MBE&amp;postcode=5000</t>
  </si>
  <si>
    <t>https://www.energymadeeasy.gov.au/plan?id=DIA48709MBE&amp;postcode=5000</t>
  </si>
  <si>
    <t>https://www.energymadeeasy.gov.au/plan?id=ENE32488MBE&amp;utm_source=EnergyAustralia&amp;utm_campaign=bpi-retailer&amp;utm_medium=retailer&amp;postcode=5000</t>
  </si>
  <si>
    <t>https://www.energymadeeasy.gov.au/plan?id=MOM89693MBE&amp;postcode=5000</t>
  </si>
  <si>
    <t>https://www.energymadeeasy.gov.au/plan?id=ORI25327MBE&amp;postcode=5000</t>
  </si>
  <si>
    <t>https://www.energymadeeasy.gov.au/plan?id=POW15465MBE&amp;postcode=5000</t>
  </si>
  <si>
    <t>https://www.energymadeeasy.gov.au/plan?id=LCL112354MBE&amp;postcode=5000</t>
  </si>
  <si>
    <t xml:space="preserve"> Single or peak rate (c/kWh)</t>
  </si>
  <si>
    <t xml:space="preserve"> Peak 2nd rate (c/kWh)</t>
  </si>
  <si>
    <t xml:space="preserve"> Peak 3rd rate (c/kWh)</t>
  </si>
  <si>
    <t xml:space="preserve"> Seasonal: peak/ off-peak rate (c/kWh)</t>
  </si>
  <si>
    <t xml:space="preserve"> Off-peak rate (c/kWh)</t>
  </si>
  <si>
    <t xml:space="preserve"> Seasonal: Off-peak/ Off-peak rate (c/kWh)</t>
  </si>
  <si>
    <t xml:space="preserve"> Cont' off peak</t>
  </si>
  <si>
    <t xml:space="preserve"> Shoulder (c/kWh)</t>
  </si>
  <si>
    <t xml:space="preserve"> Peak or single Capacity charge  (c/kVA/day)</t>
  </si>
  <si>
    <t xml:space="preserve"> Shoulder Capacity charge  (c/kVA/day)</t>
  </si>
  <si>
    <t xml:space="preserve"> Off-peak Capacity charge  (c/kVA/day)</t>
  </si>
  <si>
    <t>Mandatory shortened billing cycle (months)</t>
  </si>
  <si>
    <t>Source</t>
    <phoneticPr fontId="0" type="noConversion"/>
  </si>
  <si>
    <t>Update status</t>
    <phoneticPr fontId="0" type="noConversion"/>
  </si>
  <si>
    <t>https://www.energymadeeasy.gov.au/plan?id=BLU140591MBE1&amp;postcode=5000</t>
  </si>
  <si>
    <t>Discover Energy</t>
  </si>
  <si>
    <t>Business Smart Saver</t>
  </si>
  <si>
    <t>https://www.energymadeeasy.gov.au/plan?id=DEN87811MBE1&amp;postcode=5000</t>
  </si>
  <si>
    <t>Only for new customers of Discover Energy; customers must be sign-up only, direct debit and credit card payment only; billing by email only.</t>
  </si>
  <si>
    <t>https://www.energymadeeasy.gov.au/plan?id=DEN87813MBE1&amp;postcode=5000</t>
  </si>
  <si>
    <t>https://www.energymadeeasy.gov.au/plan?id=DEN87816MBE1&amp;postcode=5000</t>
  </si>
  <si>
    <t>Next Business Energy</t>
  </si>
  <si>
    <t>Assured</t>
  </si>
  <si>
    <t>https://www.energymadeeasy.gov.au/plan?id=NEX42167MBE2&amp;postcode=5000</t>
  </si>
  <si>
    <t>https://www.energymadeeasy.gov.au/plan?id=NEX44663MBE2&amp;postcode=5000</t>
  </si>
  <si>
    <t>QEnergy</t>
  </si>
  <si>
    <t>Biz your Way</t>
  </si>
  <si>
    <t>https://www.energymadeeasy.gov.au/plan?id=QEN85828SBE2&amp;postcode=5000</t>
  </si>
  <si>
    <t>https://www.energymadeeasy.gov.au/plan?id=QEN106326SBE1&amp;postcode=5000</t>
  </si>
  <si>
    <t>Only for existing QEnergy customers</t>
  </si>
  <si>
    <t>ReAmped Energy</t>
  </si>
  <si>
    <t>ReAmped Business</t>
  </si>
  <si>
    <t>https://www.energymadeeasy.gov.au/plan?id=REA146903MBE1&amp;postcode=5000</t>
  </si>
  <si>
    <t>https://www.energymadeeasy.gov.au/plan?id=REA146904MBE1&amp;postcode=5000</t>
  </si>
  <si>
    <t>Service fee ($ per annum)</t>
  </si>
  <si>
    <t>https://www.energymadeeasy.gov.au/plan?id=ALI13103MBE&amp;postcode=5000</t>
  </si>
  <si>
    <t>https://www.energymadeeasy.gov.au/plan?id=LUM203100MBE&amp;postcode=5000</t>
  </si>
  <si>
    <t>https://www.energymadeeasy.gov.au/plan?id=LUM203090MBE&amp;postcode=5000</t>
  </si>
  <si>
    <t>https://www.energymadeeasy.gov.au/plan?id=LUM203091MBE&amp;postcode=5000</t>
  </si>
  <si>
    <t>https://www.energymadeeasy.gov.au/plan?id=ORI25128MBE&amp;postcode=5000</t>
  </si>
  <si>
    <t>https://www.energymadeeasy.gov.au/plan?id=ORI25329MBE&amp;postcode=5000</t>
  </si>
  <si>
    <t>https://www.energymadeeasy.gov.au/plan?id=SIM134902MBE&amp;utm_source=Simply%20Energy&amp;utm_campaign=bpi-retailer&amp;utm_medium=retailer&amp;postcode=5000</t>
  </si>
  <si>
    <t>https://www.energymadeeasy.gov.au/plan?id=REA206738MBE1&amp;postcode=5000</t>
  </si>
  <si>
    <t>https://www.energymadeeasy.gov.au/plan?id=POW15465MBE6&amp;postcode=5000</t>
  </si>
  <si>
    <t>Covau</t>
  </si>
  <si>
    <t>Freedom Plus</t>
  </si>
  <si>
    <t>https://www.energymadeeasy.gov.au/plan?id=COV170983MBE1&amp;postcode=5000</t>
  </si>
  <si>
    <t>1st Energy</t>
  </si>
  <si>
    <t>1st Saver Plus</t>
  </si>
  <si>
    <t>https://www.energymadeeasy.gov.au/plan?id=1ST153632MBE1&amp;postcode=5000</t>
  </si>
  <si>
    <t>https://www.energymadeeasy.gov.au/plan?id=COV170981MBE1&amp;postcode=5000</t>
  </si>
  <si>
    <t>https://www.energymadeeasy.gov.au/plan?id=DEN87811MBE2&amp;postcode=5000</t>
  </si>
  <si>
    <t>https://www.energymadeeasy.gov.au/plan?id=DEN87816MBE2&amp;postcode=5000</t>
  </si>
  <si>
    <t>https://www.energymadeeasy.gov.au/plan?id=QEN85828SBE3&amp;postcode=5000</t>
  </si>
  <si>
    <t>https://www.energymadeeasy.gov.au/plan?id=QEN106326SBE2&amp;postcode=5000</t>
  </si>
  <si>
    <t>https://www.energymadeeasy.gov.au/plan?id=1ST153624MBE1&amp;postcode=5000</t>
  </si>
  <si>
    <t>https://www.energymadeeasy.gov.au/plan?id=1ST153625MBE1&amp;postcode=5000</t>
  </si>
  <si>
    <t>https://www.energymadeeasy.gov.au/plan?id=COV170982MBE1&amp;postcode=5000</t>
  </si>
  <si>
    <t>Purpose of SME Tariff-Tracking project:</t>
  </si>
  <si>
    <t>https://www.energymadeeasy.gov.au/plan?id=PWR287426MBE1&amp;postcode=5000</t>
  </si>
  <si>
    <t>Blue Lightning</t>
  </si>
  <si>
    <t>https://www.energymadeeasy.gov.au/plan?id=BLU299935MBE2&amp;postcode=5000</t>
  </si>
  <si>
    <t>Glow Power</t>
  </si>
  <si>
    <t>Everyday Saver</t>
  </si>
  <si>
    <t>https://www.energymadeeasy.gov.au/plan?id=ESM306560MBE1&amp;postcode=5000</t>
  </si>
  <si>
    <t>https://www.energymadeeasy.gov.au/plan?id=LCL289735MBE1&amp;postcode=5000</t>
  </si>
  <si>
    <t>Business Deal</t>
  </si>
  <si>
    <t>https://www.energymadeeasy.gov.au/plan?id=ALI49387MBE6&amp;postcode=5000</t>
  </si>
  <si>
    <t>https://www.energymadeeasy.gov.au/plan?id=REA293627MBE1&amp;postcode=5000</t>
  </si>
  <si>
    <t>https://www.energymadeeasy.gov.au/plan?id=SIM244041MBE2&amp;postcode=5000</t>
  </si>
  <si>
    <t>Go</t>
  </si>
  <si>
    <t>https://www.energymadeeasy.gov.au/plan?id=ORI151064MBE4&amp;postcode=5000</t>
  </si>
  <si>
    <t>Sumo Power</t>
  </si>
  <si>
    <t>Freedom</t>
  </si>
  <si>
    <t>https://www.energymadeeasy.gov.au/plan?id=SUM302562MBE1&amp;postcode=5000</t>
  </si>
  <si>
    <t>https://www.energymadeeasy.gov.au/plan?id=RED21500MBE6&amp;postcode=5000</t>
  </si>
  <si>
    <t>Carbon Neutral - Rate Lock</t>
  </si>
  <si>
    <t>https://www.energymadeeasy.gov.au/plan?id=PSH305427MBE3&amp;postcode=5000</t>
  </si>
  <si>
    <t>https://www.energymadeeasy.gov.au/plan?id=POW15444MBE13&amp;postcode=5000</t>
  </si>
  <si>
    <t>https://www.energymadeeasy.gov.au/plan?id=MOM294731MBE1&amp;postcode=5000</t>
  </si>
  <si>
    <t>Flexible Saver</t>
  </si>
  <si>
    <t>https://www.energymadeeasy.gov.au/plan?id=AGL238841MBE6&amp;postcode=5000</t>
  </si>
  <si>
    <t>https://www.energymadeeasy.gov.au/plan?id=1ST252947MBE1&amp;postcode=5000</t>
  </si>
  <si>
    <t>https://www.energymadeeasy.gov.au/plan?id=ENE32430MBE10&amp;postcode=5000</t>
  </si>
  <si>
    <t>https://www.energymadeeasy.gov.au/plan?id=DIA34665MBE4&amp;postcode=5000</t>
  </si>
  <si>
    <t>https://www.energymadeeasy.gov.au/plan?id=LUM203100MBE3&amp;postcode=5000</t>
  </si>
  <si>
    <t>https://www.energymadeeasy.gov.au/plan?id=DEN254902MBE1&amp;postcode=5000</t>
  </si>
  <si>
    <t xml:space="preserve">Freedom </t>
  </si>
  <si>
    <t>https://www.energymadeeasy.gov.au/plan?id=COV284055MBE1&amp;postcode=5000</t>
  </si>
  <si>
    <t>TOU</t>
  </si>
  <si>
    <t>SA-TOU</t>
  </si>
  <si>
    <t>SA-Seasonal TOU</t>
  </si>
  <si>
    <t>Insert shoulder proportion (%):</t>
  </si>
  <si>
    <t>Shoulder</t>
  </si>
  <si>
    <t>SA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</si>
  <si>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</si>
  <si>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</si>
  <si>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</si>
  <si>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AGL</t>
    <phoneticPr fontId="0" type="noConversion"/>
  </si>
  <si>
    <t>Business Value Saver</t>
  </si>
  <si>
    <t>SA-Single</t>
    <phoneticPr fontId="0" type="noConversion"/>
  </si>
  <si>
    <t>o</t>
    <phoneticPr fontId="0" type="noConversion"/>
  </si>
  <si>
    <t>Mandatory eBilling</t>
  </si>
  <si>
    <t>https://www.energymadeeasy.gov.au/plan?id=AGL361378MBE2&amp;postcode=5000</t>
  </si>
  <si>
    <t>Alinta Energy</t>
    <phoneticPr fontId="0" type="noConversion"/>
  </si>
  <si>
    <t>BusinessDeal</t>
  </si>
  <si>
    <t>https://www.energymadeeasy.gov.au/plan?id=ALI49387MBE7&amp;postcode=5000</t>
  </si>
  <si>
    <t>Diamond Energy</t>
    <phoneticPr fontId="0" type="noConversion"/>
  </si>
  <si>
    <t>EnergyAustralia</t>
    <phoneticPr fontId="0" type="noConversion"/>
  </si>
  <si>
    <t>Momentum Energy</t>
    <phoneticPr fontId="0" type="noConversion"/>
  </si>
  <si>
    <t>SmilePower Flexi</t>
    <phoneticPr fontId="0" type="noConversion"/>
  </si>
  <si>
    <t>https://www.energymadeeasy.gov.au/plan?id=MOM337163MBE1&amp;postcode=5000</t>
  </si>
  <si>
    <t>Origin Energy</t>
    <phoneticPr fontId="0" type="noConversion"/>
  </si>
  <si>
    <t>Go Variable</t>
  </si>
  <si>
    <t>https://www.energymadeeasy.gov.au/plan?id=ORI218039MBE&amp;postcode=5000</t>
  </si>
  <si>
    <t>Red Energy</t>
    <phoneticPr fontId="0" type="noConversion"/>
  </si>
  <si>
    <t>Simply Energy</t>
    <phoneticPr fontId="0" type="noConversion"/>
  </si>
  <si>
    <t>Business Saver - 18% off</t>
  </si>
  <si>
    <t>Blue NRG</t>
    <phoneticPr fontId="0" type="noConversion"/>
  </si>
  <si>
    <t>Blue Business Lightning</t>
  </si>
  <si>
    <t>100% Carbon Neutral</t>
  </si>
  <si>
    <t>https://www.energymadeeasy.gov.au/plan?id=PSH65630MBE3&amp;postcode=5000</t>
  </si>
  <si>
    <t>Powerbank Bis</t>
  </si>
  <si>
    <t>Energy Locals</t>
    <phoneticPr fontId="0" type="noConversion"/>
  </si>
  <si>
    <t>Your first six months membership total will be credited back to your account after six months</t>
  </si>
  <si>
    <t>https://www.energymadeeasy.gov.au/plan?id=LCL336801MBE1&amp;postcode=5000</t>
  </si>
  <si>
    <t>Market Offer</t>
  </si>
  <si>
    <t>https://www.energymadeeasy.gov.au/plan?id=FXP103010MBE3&amp;postcode=5000</t>
  </si>
  <si>
    <t>Smart Saver</t>
  </si>
  <si>
    <t>New customers only; DD and CC only; ebilling</t>
  </si>
  <si>
    <t>Business</t>
  </si>
  <si>
    <t xml:space="preserve">Get a non-refundable $50 (incl GST) credit when you sign up to ReAmped Energy using a refer a friend link from an existing ReAmped Energy customer.  </t>
  </si>
  <si>
    <t>https://www.energymadeeasy.gov.au/plan?postcode=5000&amp;id=REA293627MBE2</t>
  </si>
  <si>
    <t>CovaU</t>
    <phoneticPr fontId="0" type="noConversion"/>
  </si>
  <si>
    <t>GlowPower</t>
  </si>
  <si>
    <t>Sumo Power</t>
    <phoneticPr fontId="0" type="noConversion"/>
  </si>
  <si>
    <t>Freedom Business</t>
  </si>
  <si>
    <t>https://www.energymadeeasy.gov.au/plan?id=SUM361926MBE1&amp;postcode=5000</t>
  </si>
  <si>
    <t>Amber Electric</t>
  </si>
  <si>
    <t>Small Business</t>
  </si>
  <si>
    <t>https://www.energymadeeasy.gov.au/plan?id=AMB365730MBE1&amp;postcode=5000</t>
  </si>
  <si>
    <t>Circular Energy</t>
  </si>
  <si>
    <t>Community Energy Business</t>
  </si>
  <si>
    <t>https://www.energymadeeasy.gov.au/plan?id=CIR306272SBE4&amp;postcode=5000</t>
  </si>
  <si>
    <t>Next Business Energy</t>
    <phoneticPr fontId="0" type="noConversion"/>
  </si>
  <si>
    <t xml:space="preserve">Assured </t>
  </si>
  <si>
    <t>https://www.energymadeeasy.gov.au/plan?id=NEX351122MBE1&amp;postcode=5000</t>
  </si>
  <si>
    <t>Controlled</t>
    <phoneticPr fontId="0" type="noConversion"/>
  </si>
  <si>
    <t>SA-Controlled</t>
    <phoneticPr fontId="0" type="noConversion"/>
  </si>
  <si>
    <t>https://www.energymadeeasy.gov.au/plan?id=ALI49388MBE7&amp;postcode=5000</t>
  </si>
  <si>
    <t>https://www.energymadeeasy.gov.au/plan?id=DIA34666MBE5&amp;postcode=5000</t>
  </si>
  <si>
    <t>https://www.energymadeeasy.gov.au/plan?id=ENE32429MBE10&amp;postcode=5000</t>
  </si>
  <si>
    <t>https://www.energymadeeasy.gov.au/plan?id=LUM203090MBE3&amp;postcode=5000</t>
  </si>
  <si>
    <t>https://www.energymadeeasy.gov.au/plan?id=MOM337098MBE1&amp;postcode=5000</t>
  </si>
  <si>
    <t>https://www.energymadeeasy.gov.au/plan?id=ORI218060MBE&amp;postcode=5000</t>
  </si>
  <si>
    <t>https://www.energymadeeasy.gov.au/plan?id=SIM244043MBE2&amp;postcode=5000</t>
  </si>
  <si>
    <t>https://www.energymadeeasy.gov.au/plan?id=BLU299934MBE2&amp;postcode=5000</t>
  </si>
  <si>
    <t>https://www.energymadeeasy.gov.au/plan?id=PSH65631MBE3&amp;postcode=5000</t>
  </si>
  <si>
    <t>https://www.energymadeeasy.gov.au/plan?id=PWR287450MBE1&amp;postcode=5000</t>
  </si>
  <si>
    <t>Powerbank Bis + Smart</t>
  </si>
  <si>
    <t>https://www.energymadeeasy.gov.au/plan?id=PWR287428MBE1&amp;postcode=5000</t>
  </si>
  <si>
    <t>https://www.energymadeeasy.gov.au/plan?id=LCL336746MBE1&amp;postcode=5000</t>
  </si>
  <si>
    <t>https://www.energymadeeasy.gov.au/plan?id=FXP103011MBE3&amp;postcode=5000</t>
  </si>
  <si>
    <t>https://www.energymadeeasy.gov.au/plan?id=DEN254901MBE1&amp;postcode=5000</t>
  </si>
  <si>
    <t>https://www.energymadeeasy.gov.au/plan?postcode=5000&amp;id=REA293633MBE2</t>
  </si>
  <si>
    <t>https://www.energymadeeasy.gov.au/plan?id=COV284056MBE1&amp;postcode=5000</t>
  </si>
  <si>
    <t>https://www.energymadeeasy.gov.au/plan?id=1ST252948MBE1&amp;postcode=5000</t>
  </si>
  <si>
    <t>https://www.energymadeeasy.gov.au/plan?id=ESM306561MBE1&amp;postcode=5000</t>
  </si>
  <si>
    <t>https://www.energymadeeasy.gov.au/plan?id=SUM361929MBE1&amp;postcode=5000</t>
  </si>
  <si>
    <t>https://www.energymadeeasy.gov.au/plan?id=CIR306274SBE4&amp;postcode=5000</t>
  </si>
  <si>
    <t>https://www.energymadeeasy.gov.au/plan?id=NEX351123MBE1&amp;postcode=5000</t>
  </si>
  <si>
    <t>SA-TOU-Seasonal</t>
  </si>
  <si>
    <t>SA-TOU-Seasonal-Winter weekend</t>
  </si>
  <si>
    <t>https://www.energymadeeasy.gov.au/plan?id=ESM343269MBE1&amp;postcode=5000</t>
  </si>
  <si>
    <t>SA-TOU-Seasonal-Off peak weekend</t>
  </si>
  <si>
    <t>https://www.energymadeeasy.gov.au/plan?id=CIR306273SBE4&amp;postcode=5000</t>
  </si>
  <si>
    <t>Two Rate</t>
    <phoneticPr fontId="0" type="noConversion"/>
  </si>
  <si>
    <t>SA-Two rate</t>
    <phoneticPr fontId="0" type="noConversion"/>
  </si>
  <si>
    <t>https://www.energymadeeasy.gov.au/plan?id=ALI49391MBE7&amp;postcode=5000</t>
  </si>
  <si>
    <t>https://www.energymadeeasy.gov.au/plan?id=DIA48709MBE4&amp;postcode=5000</t>
  </si>
  <si>
    <t>https://www.energymadeeasy.gov.au/plan?id=ENE32488MBE10&amp;postcode=5000</t>
  </si>
  <si>
    <t>https://www.energymadeeasy.gov.au/plan?id=LUM203091MBE3&amp;postcode=5000</t>
  </si>
  <si>
    <t>SA-Two rate-Late peak</t>
  </si>
  <si>
    <t>https://www.energymadeeasy.gov.au/plan?id=MOM337312MBE1&amp;postcode=5000</t>
  </si>
  <si>
    <t>https://www.energymadeeasy.gov.au/plan?id=ORI218052MBE&amp;postcode=5000</t>
  </si>
  <si>
    <t>https://www.energymadeeasy.gov.au/plan?id=SIM244273MBE1&amp;postcode=5000</t>
  </si>
  <si>
    <t>https://www.energymadeeasy.gov.au/plan?id=PSH65626MBE3&amp;postcode=5000</t>
  </si>
  <si>
    <t>https://www.energymadeeasy.gov.au/plan?id=LCL336763MBE1&amp;postcode=5000</t>
  </si>
  <si>
    <t>https://www.energymadeeasy.gov.au/plan?id=DEN254900MBE1&amp;postcode=5000</t>
  </si>
  <si>
    <t>https://www.energymadeeasy.gov.au/plan?postcode=5000&amp;id=REA293625MBE2</t>
  </si>
  <si>
    <t>https://www.energymadeeasy.gov.au/plan?id=COV284057MBE1&amp;postcode=5000</t>
  </si>
  <si>
    <t>https://www.energymadeeasy.gov.au/plan?id=1ST252951MBE1&amp;postcode=5000</t>
  </si>
  <si>
    <t>https://www.energymadeeasy.gov.au/plan?id=SUM361923MBE1&amp;postcode=5000</t>
  </si>
  <si>
    <t>https://www.energymadeeasy.gov.au/plan?id=NEX351128MBE1&amp;postcode=5000</t>
  </si>
  <si>
    <t>Value Saver</t>
  </si>
  <si>
    <t>https://www.energymadeeasy.gov.au/plan?id=AGL361378MBE3&amp;postcode=5000</t>
  </si>
  <si>
    <t>https://www.energymadeeasy.gov.au/plan?id=ALI463781MBE3&amp;postcode=5000</t>
  </si>
  <si>
    <t xml:space="preserve">Renewable Saver </t>
  </si>
  <si>
    <t>Balance Plan</t>
  </si>
  <si>
    <t>https://www.energymadeeasy.gov.au/plan?id=ENE252018MBE10&amp;postcode=5000</t>
  </si>
  <si>
    <t>SA</t>
    <phoneticPr fontId="4" type="noConversion"/>
  </si>
  <si>
    <t>Single</t>
    <phoneticPr fontId="4" type="noConversion"/>
  </si>
  <si>
    <t>y</t>
    <phoneticPr fontId="4" type="noConversion"/>
  </si>
  <si>
    <t>n</t>
    <phoneticPr fontId="4" type="noConversion"/>
  </si>
  <si>
    <t>SA-Single</t>
    <phoneticPr fontId="4" type="noConversion"/>
  </si>
  <si>
    <t>https://www.energymadeeasy.gov.au/plan?id=LUM203100MBE5&amp;postcode=5000</t>
  </si>
  <si>
    <t>https://www.energymadeeasy.gov.au/plan?id=ORI430658MBE3&amp;postcode=5000</t>
  </si>
  <si>
    <t>Red Energy</t>
    <phoneticPr fontId="4" type="noConversion"/>
  </si>
  <si>
    <t>o</t>
    <phoneticPr fontId="4" type="noConversion"/>
  </si>
  <si>
    <t>https://www.energymadeeasy.gov.au/plan?id=RED21500MBE8&amp;postcode=5000</t>
  </si>
  <si>
    <t>Business Basic</t>
  </si>
  <si>
    <t>https://www.energymadeeasy.gov.au/plan?id=SIM422940MBE1&amp;postcode=5000</t>
  </si>
  <si>
    <t>Carbon Neutral</t>
  </si>
  <si>
    <t>https://www.energymadeeasy.gov.au/plan?id=PSH65630MBE4&amp;postcode=5000</t>
  </si>
  <si>
    <t>Energy Locals</t>
    <phoneticPr fontId="9" type="noConversion"/>
  </si>
  <si>
    <t>daily</t>
  </si>
  <si>
    <t>https://www.energymadeeasy.gov.au/plan?id=LCL467176MBE1&amp;postcode=5000</t>
  </si>
  <si>
    <t xml:space="preserve">$50 sign-up credits </t>
  </si>
  <si>
    <t>$50 one-off sign-up credits (including GST) will be applied on your first invoice after switching to CovaU. This's applicable to new customer who sign up on CovaU's website only.</t>
  </si>
  <si>
    <t>https://www.energymadeeasy.gov.au/plan?id=COV480534MBE1&amp;postcode=5000</t>
  </si>
  <si>
    <t>Sumo Power</t>
    <phoneticPr fontId="4" type="noConversion"/>
  </si>
  <si>
    <t>https://www.energymadeeasy.gov.au/plan?id=SUM361926MBE2&amp;postcode=5000</t>
  </si>
  <si>
    <t>https://www.energymadeeasy.gov.au/plan?id=AMB427050MBE1&amp;postcode=5000</t>
  </si>
  <si>
    <t>Zero Member Fee Business</t>
  </si>
  <si>
    <t>https://www.energymadeeasy.gov.au/plan?id=CIR353464SBE3&amp;postcode=5000</t>
  </si>
  <si>
    <t>https://www.energymadeeasy.gov.au/plan?id=AGL361380MBE3&amp;postcode=5000</t>
  </si>
  <si>
    <t>https://www.energymadeeasy.gov.au/plan?id=ALI463782MBE3&amp;postcode=5000</t>
  </si>
  <si>
    <t>Controlled</t>
    <phoneticPr fontId="4" type="noConversion"/>
  </si>
  <si>
    <t>SA-Controlled</t>
    <phoneticPr fontId="4" type="noConversion"/>
  </si>
  <si>
    <t>https://www.energymadeeasy.gov.au/plan?id=ORI430659MBE3&amp;postcode=5000</t>
  </si>
  <si>
    <t>https://www.energymadeeasy.gov.au/plan?id=RED21499MBE8&amp;postcode=5000</t>
  </si>
  <si>
    <t>https://www.energymadeeasy.gov.au/plan?id=SIM422942MBE1&amp;postcode=5000</t>
  </si>
  <si>
    <t>https://www.energymadeeasy.gov.au/plan?id=PSH65631MBE4&amp;postcode=5000</t>
  </si>
  <si>
    <t>https://www.energymadeeasy.gov.au/plan?id=LCL467177MBE1&amp;postcode=5000</t>
  </si>
  <si>
    <t>https://www.energymadeeasy.gov.au/plan?id=COV480535MBE1&amp;postcode=5000</t>
  </si>
  <si>
    <t>https://www.energymadeeasy.gov.au/plan?id=CIR353468SBE3&amp;postcode=5000</t>
  </si>
  <si>
    <t>https://www.energymadeeasy.gov.au/plan?id=AGL361452MBE3&amp;postcode=5000</t>
  </si>
  <si>
    <t>https://www.energymadeeasy.gov.au/plan?id=CIR353467SBE3&amp;postcode=5000</t>
  </si>
  <si>
    <t>https://www.energymadeeasy.gov.au/plan?id=ALI463785MBE3&amp;postcode=5000</t>
  </si>
  <si>
    <t>Two Rate</t>
    <phoneticPr fontId="4" type="noConversion"/>
  </si>
  <si>
    <t>SA-Two rate</t>
    <phoneticPr fontId="4" type="noConversion"/>
  </si>
  <si>
    <t>https://www.energymadeeasy.gov.au/plan?id=ORI430650MBE3&amp;postcode=5000</t>
  </si>
  <si>
    <t>https://www.energymadeeasy.gov.au/plan?id=RED21773MBE8&amp;postcode=5000</t>
  </si>
  <si>
    <t>https://www.energymadeeasy.gov.au/plan?id=SIM422948MBE1&amp;postcode=5000</t>
  </si>
  <si>
    <t>https://www.energymadeeasy.gov.au/plan?id=PSH65626MBE4&amp;postcode=5000</t>
  </si>
  <si>
    <t>https://www.energymadeeasy.gov.au/plan?id=LCL467178MBE1&amp;postcode=5000</t>
  </si>
  <si>
    <t>https://www.energymadeeasy.gov.au/plan?id=COV480536MBE1&amp;postcode=5000</t>
  </si>
  <si>
    <t>https://www.energymadeeasy.gov.au/plan?id=SUM361928MBE2&amp;postcode=5000</t>
  </si>
  <si>
    <t>https://www.energymadeeasy.gov.au/plan?id=AGL361378MBE5&amp;postcode=5000</t>
  </si>
  <si>
    <t>https://www.energymadeeasy.gov.au/plan?id=ENE252018MBE11&amp;postcode=5000</t>
  </si>
  <si>
    <t>https://www.energymadeeasy.gov.au/plan?id=LUM203100MBE6&amp;postcode=5000</t>
  </si>
  <si>
    <t>https://www.energymadeeasy.gov.au/plan?id=ORI430658MBE5&amp;postcode=5000</t>
  </si>
  <si>
    <t>https://www.energymadeeasy.gov.au/plan?id=SIM529228MBE1&amp;postcode=5000</t>
  </si>
  <si>
    <t>https://www.energymadeeasy.gov.au/plan?id=LCL467176MBE4&amp;postcode=5000</t>
  </si>
  <si>
    <t>https://www.energymadeeasy.gov.au/plan?id=COV521484MBE2&amp;postcode=5000</t>
  </si>
  <si>
    <t>Lite</t>
  </si>
  <si>
    <t>https://www.energymadeeasy.gov.au/plan?id=SUM470295MBE2&amp;postcode=5000</t>
  </si>
  <si>
    <t>https://www.energymadeeasy.gov.au/plan?id=CIR353464SBE4&amp;postcode=5000</t>
  </si>
  <si>
    <t>Thrifty Business</t>
  </si>
  <si>
    <t>https://www.energymadeeasy.gov.au/plan?id=MOM533436MBE&amp;utm_source=Momentum%20Energy&amp;utm_campaign=bpi-retailer&amp;utm_medium=retailer&amp;postcode=5000</t>
  </si>
  <si>
    <t>https://www.energymadeeasy.gov.au/plan?id=NEX534531MBE1&amp;postcode=5000</t>
  </si>
  <si>
    <t>https://www.energymadeeasy.gov.au/plan?id=SUM470296MBE2&amp;postcode=5000</t>
  </si>
  <si>
    <t>https://www.energymadeeasy.gov.au/plan?id=CIR353468SBE4&amp;postcode=5000</t>
  </si>
  <si>
    <t>https://www.energymadeeasy.gov.au/plan?id=MOM533429MBE&amp;utm_source=Momentum%20Energy&amp;utm_campaign=bpi-retailer&amp;utm_medium=retailer&amp;postcode=5000</t>
  </si>
  <si>
    <t>https://www.energymadeeasy.gov.au/plan?id=NEX534532MBE1&amp;postcode=5000</t>
  </si>
  <si>
    <t>https://www.energymadeeasy.gov.au/plan?id=CIR353467SBE4&amp;postcode=5000</t>
  </si>
  <si>
    <t>Two rate</t>
    <phoneticPr fontId="0" type="noConversion"/>
  </si>
  <si>
    <t>https://www.energymadeeasy.gov.au/plan?id=SUM470297MBE2&amp;postcode=5000</t>
  </si>
  <si>
    <t>https://www.energymadeeasy.gov.au/plan?id=MOM533729MBE&amp;utm_source=Momentum%20Energy&amp;utm_campaign=bpi-retailer&amp;utm_medium=retailer&amp;postcode=5000</t>
  </si>
  <si>
    <t>https://www.energymadeeasy.gov.au/plan?id=NEX534537MBE1&amp;postcode=5000</t>
  </si>
  <si>
    <t>CovaU</t>
  </si>
  <si>
    <t>April 2019, October 2019, April 2020, October 2020, April 2021, October 2021, April 2022, October 2022, April 2023 and October 2023</t>
  </si>
  <si>
    <t>https://www.energymadeeasy.gov.au/plan?id=ALI463781MBE5&amp;postcode=5000</t>
  </si>
  <si>
    <t>https://www.energymadeeasy.gov.au/plan?id=ALI463782MBE5&amp;postcode=5000</t>
  </si>
  <si>
    <t>https://www.energymadeeasy.gov.au/plan?id=ALI463785MBE5&amp;postcode=5000</t>
  </si>
  <si>
    <t>https://www.energymadeeasy.gov.au/plan?id=DIA34665MBE6&amp;postcode=5000</t>
  </si>
  <si>
    <t>https://www.energymadeeasy.gov.au/plan?id=DIA34666MBE7&amp;postcode=5000</t>
  </si>
  <si>
    <t>https://www.energymadeeasy.gov.au/plan?id=DIA48709MBE7&amp;postcode=5000</t>
  </si>
  <si>
    <t>https://www.energymadeeasy.gov.au/plan?id=ENE252018MBE14&amp;postcode=5000</t>
  </si>
  <si>
    <t>https://www.energymadeeasy.gov.au/plan?id=ENE252010MBE14&amp;postcode=5000</t>
  </si>
  <si>
    <t>https://www.energymadeeasy.gov.au/plan?id=ENE252026MBE13&amp;postcode=5000</t>
  </si>
  <si>
    <t>https://www.energymadeeasy.gov.au/plan?id=LUM203100MBE9&amp;postcode=5000</t>
  </si>
  <si>
    <t>https://www.energymadeeasy.gov.au/plan?id=LUM203090MBE9&amp;postcode=5000</t>
  </si>
  <si>
    <t>https://www.energymadeeasy.gov.au/plan?id=LUM203091MBE9&amp;postcode=5000</t>
  </si>
  <si>
    <t>https://www.energymadeeasy.gov.au/plan?id=ORI430658MBE8&amp;postcode=5000</t>
  </si>
  <si>
    <t>https://www.energymadeeasy.gov.au/plan?id=ORI430659MBE8&amp;postcode=5000</t>
  </si>
  <si>
    <t>https://www.energymadeeasy.gov.au/plan?id=ORI430650MBE8&amp;postcode=5000</t>
  </si>
  <si>
    <t>https://www.energymadeeasy.gov.au/plan?id=RED552210MBE3&amp;postcode=5000</t>
  </si>
  <si>
    <t>https://www.energymadeeasy.gov.au/plan?id=RED552213MBE3&amp;postcode=5000</t>
  </si>
  <si>
    <t>https://www.energymadeeasy.gov.au/plan?id=RED552217MBE3&amp;postcode=5000</t>
  </si>
  <si>
    <t>https://www.energymadeeasy.gov.au/plan?id=SIM590113MBE1&amp;postcode=5000</t>
  </si>
  <si>
    <t>https://www.energymadeeasy.gov.au/plan?id=SIM590109MBE1&amp;postcode=5000</t>
  </si>
  <si>
    <t>https://www.energymadeeasy.gov.au/plan?id=SIM590121MBE1&amp;postcode=5000</t>
  </si>
  <si>
    <t>https://www.energymadeeasy.gov.au/plan?id=PSH612088MBE2&amp;postcode=5000</t>
  </si>
  <si>
    <t>https://www.energymadeeasy.gov.au/plan?id=PSH612028MBE2&amp;postcode=5000</t>
  </si>
  <si>
    <t>https://www.energymadeeasy.gov.au/plan?id=PSH612031MBE2&amp;postcode=5000</t>
  </si>
  <si>
    <t>https://www.energymadeeasy.gov.au/plan?id=LCL654325MBE1&amp;postcode=5000</t>
  </si>
  <si>
    <t>https://www.energymadeeasy.gov.au/plan?id=LCL654300MBE1&amp;postcode=5000</t>
  </si>
  <si>
    <t>https://www.energymadeeasy.gov.au/plan?id=REA394198MBE3&amp;postcode=5000</t>
  </si>
  <si>
    <t>https://www.energymadeeasy.gov.au/plan?id=REA394197MBE3&amp;postcode=5000</t>
  </si>
  <si>
    <t>https://www.energymadeeasy.gov.au/plan?id=REA394195MBE3&amp;postcode=5000</t>
  </si>
  <si>
    <t>https://www.energymadeeasy.gov.au/plan?id=COV637122MBE2&amp;postcode=5000</t>
  </si>
  <si>
    <t>https://www.energymadeeasy.gov.au/plan?id=COV637124MBE2&amp;postcode=5000</t>
  </si>
  <si>
    <t>https://www.energymadeeasy.gov.au/plan?id=SUM470295MBE3&amp;postcode=5000</t>
  </si>
  <si>
    <t>https://www.energymadeeasy.gov.au/plan?id=SUM470296MBE3&amp;postcode=5000</t>
  </si>
  <si>
    <t>https://www.energymadeeasy.gov.au/plan?id=SUM470297MBE3&amp;postcode=5000</t>
  </si>
  <si>
    <t>https://www.energymadeeasy.gov.au/plan?id=CIR353464SBE5&amp;postcode=5000</t>
  </si>
  <si>
    <t>https://www.energymadeeasy.gov.au/plan?id=CIR353468SBE5&amp;postcode=5000</t>
  </si>
  <si>
    <t>https://www.energymadeeasy.gov.au/plan?id=CIR353467SBE5&amp;postcode=5000</t>
  </si>
  <si>
    <t>https://www.energymadeeasy.gov.au/plan?id=MOM546916MBE6&amp;postcode=5000</t>
  </si>
  <si>
    <t>https://www.energymadeeasy.gov.au/plan?id=MOM546957MBE6&amp;postcode=5000</t>
  </si>
  <si>
    <t>https://www.energymadeeasy.gov.au/plan?id=MOM546692MBE6&amp;postcode=5000</t>
  </si>
  <si>
    <t>https://www.energymadeeasy.gov.au/plan?id=NEX664252MBE1&amp;postcode=5000</t>
  </si>
  <si>
    <t>https://www.energymadeeasy.gov.au/plan?id=NEX664253MBE1&amp;postcode=5000</t>
  </si>
  <si>
    <t>https://www.energymadeeasy.gov.au/plan?id=NEX664258MBE1&amp;postcode=5000</t>
  </si>
  <si>
    <t>NEW</t>
  </si>
  <si>
    <t>Blue Energy</t>
  </si>
  <si>
    <t>Mini Freeze</t>
  </si>
  <si>
    <t>https://www.energymadeeasy.gov.au/plan?id=BLU626784MBE1&amp;postcode=5000</t>
  </si>
  <si>
    <t>https://www.energymadeeasy.gov.au/plan?id=BLU626785MBE1&amp;postcode=5000</t>
  </si>
  <si>
    <t>https://www.energymadeeasy.gov.au/plan?id=FXP651399MBE1&amp;postcode=5000</t>
  </si>
  <si>
    <t>https://www.energymadeeasy.gov.au/plan?id=AGL361378MBE10&amp;postcode=5000</t>
  </si>
  <si>
    <t>https://www.energymadeeasy.gov.au/plan?id=AGL361380MBE11&amp;postcode=5000</t>
  </si>
  <si>
    <t>https://www.energymadeeasy.gov.au/plan?id=AGL361452MBE11&amp;postcode=5000</t>
  </si>
  <si>
    <t>https://www.energymadeeasy.gov.au/plan?id=LCL667685MBE1&amp;postcode=5000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</si>
</sst>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Verdana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z val="11"/>
      <color indexed="48"/>
      <name val="Arial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rgb="FF000000"/>
      <name val="Verdana"/>
      <family val="2"/>
    </font>
    <font>
      <u/>
      <sz val="10"/>
      <color theme="10"/>
      <name val="Verdana"/>
      <family val="2"/>
    </font>
    <font>
      <b/>
      <sz val="10"/>
      <name val="Verdana"/>
      <family val="2"/>
    </font>
  </fonts>
  <fills count="3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2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394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1" xfId="0" applyFill="1" applyBorder="1" applyAlignment="1">
      <alignment wrapText="1"/>
    </xf>
    <xf numFmtId="0" fontId="0" fillId="3" borderId="2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1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6" borderId="3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2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0" borderId="1" xfId="0" applyFill="1" applyBorder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1" borderId="1" xfId="0" applyFill="1" applyBorder="1" applyAlignment="1">
      <alignment horizontal="center" wrapText="1"/>
    </xf>
    <xf numFmtId="0" fontId="0" fillId="12" borderId="0" xfId="0" applyFill="1" applyAlignment="1">
      <alignment horizontal="center" wrapText="1"/>
    </xf>
    <xf numFmtId="0" fontId="0" fillId="12" borderId="1" xfId="0" applyFill="1" applyBorder="1" applyAlignment="1">
      <alignment horizontal="right" wrapText="1"/>
    </xf>
    <xf numFmtId="0" fontId="0" fillId="7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0" fillId="0" borderId="4" xfId="0" applyBorder="1"/>
    <xf numFmtId="1" fontId="0" fillId="0" borderId="4" xfId="0" applyNumberFormat="1" applyBorder="1"/>
    <xf numFmtId="14" fontId="1" fillId="0" borderId="4" xfId="0" applyNumberFormat="1" applyFont="1" applyBorder="1"/>
    <xf numFmtId="14" fontId="0" fillId="0" borderId="4" xfId="0" applyNumberFormat="1" applyBorder="1" applyAlignment="1">
      <alignment horizontal="left"/>
    </xf>
    <xf numFmtId="14" fontId="0" fillId="0" borderId="4" xfId="0" applyNumberFormat="1" applyBorder="1"/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left"/>
    </xf>
    <xf numFmtId="14" fontId="0" fillId="0" borderId="4" xfId="0" applyNumberFormat="1" applyBorder="1" applyAlignment="1">
      <alignment horizontal="right"/>
    </xf>
    <xf numFmtId="0" fontId="0" fillId="0" borderId="0" xfId="0" applyAlignment="1">
      <alignment horizontal="left"/>
    </xf>
    <xf numFmtId="0" fontId="0" fillId="2" borderId="4" xfId="0" applyFill="1" applyBorder="1"/>
    <xf numFmtId="14" fontId="0" fillId="0" borderId="16" xfId="0" applyNumberFormat="1" applyBorder="1"/>
    <xf numFmtId="14" fontId="0" fillId="0" borderId="17" xfId="0" applyNumberFormat="1" applyBorder="1"/>
    <xf numFmtId="0" fontId="5" fillId="13" borderId="7" xfId="0" applyFont="1" applyFill="1" applyBorder="1" applyProtection="1">
      <protection hidden="1"/>
    </xf>
    <xf numFmtId="0" fontId="3" fillId="13" borderId="8" xfId="0" applyFont="1" applyFill="1" applyBorder="1" applyProtection="1">
      <protection hidden="1"/>
    </xf>
    <xf numFmtId="0" fontId="3" fillId="13" borderId="0" xfId="0" applyFont="1" applyFill="1" applyProtection="1">
      <protection hidden="1"/>
    </xf>
    <xf numFmtId="0" fontId="3" fillId="13" borderId="9" xfId="0" applyFont="1" applyFill="1" applyBorder="1" applyProtection="1">
      <protection hidden="1"/>
    </xf>
    <xf numFmtId="0" fontId="3" fillId="13" borderId="5" xfId="0" applyFont="1" applyFill="1" applyBorder="1" applyProtection="1">
      <protection hidden="1"/>
    </xf>
    <xf numFmtId="0" fontId="3" fillId="13" borderId="6" xfId="0" applyFont="1" applyFill="1" applyBorder="1" applyProtection="1">
      <protection hidden="1"/>
    </xf>
    <xf numFmtId="4" fontId="3" fillId="13" borderId="8" xfId="0" applyNumberFormat="1" applyFont="1" applyFill="1" applyBorder="1" applyProtection="1">
      <protection hidden="1"/>
    </xf>
    <xf numFmtId="3" fontId="4" fillId="13" borderId="8" xfId="0" applyNumberFormat="1" applyFont="1" applyFill="1" applyBorder="1" applyProtection="1">
      <protection hidden="1"/>
    </xf>
    <xf numFmtId="4" fontId="3" fillId="13" borderId="0" xfId="0" applyNumberFormat="1" applyFont="1" applyFill="1" applyProtection="1">
      <protection hidden="1"/>
    </xf>
    <xf numFmtId="3" fontId="4" fillId="13" borderId="0" xfId="0" applyNumberFormat="1" applyFont="1" applyFill="1" applyProtection="1">
      <protection hidden="1"/>
    </xf>
    <xf numFmtId="4" fontId="3" fillId="0" borderId="2" xfId="0" applyNumberFormat="1" applyFont="1" applyBorder="1" applyProtection="1">
      <protection hidden="1"/>
    </xf>
    <xf numFmtId="0" fontId="4" fillId="14" borderId="0" xfId="0" applyFont="1" applyFill="1" applyProtection="1">
      <protection locked="0"/>
    </xf>
    <xf numFmtId="9" fontId="4" fillId="14" borderId="0" xfId="0" applyNumberFormat="1" applyFont="1" applyFill="1" applyProtection="1">
      <protection locked="0"/>
    </xf>
    <xf numFmtId="0" fontId="3" fillId="0" borderId="0" xfId="0" applyFont="1" applyProtection="1">
      <protection hidden="1"/>
    </xf>
    <xf numFmtId="2" fontId="3" fillId="0" borderId="2" xfId="0" applyNumberFormat="1" applyFont="1" applyBorder="1" applyAlignment="1" applyProtection="1">
      <alignment horizontal="right"/>
      <protection hidden="1"/>
    </xf>
    <xf numFmtId="4" fontId="3" fillId="0" borderId="1" xfId="0" applyNumberFormat="1" applyFont="1" applyBorder="1" applyProtection="1">
      <protection hidden="1"/>
    </xf>
    <xf numFmtId="3" fontId="3" fillId="0" borderId="2" xfId="0" applyNumberFormat="1" applyFont="1" applyBorder="1" applyProtection="1">
      <protection hidden="1"/>
    </xf>
    <xf numFmtId="3" fontId="4" fillId="0" borderId="2" xfId="0" applyNumberFormat="1" applyFont="1" applyBorder="1" applyProtection="1">
      <protection hidden="1"/>
    </xf>
    <xf numFmtId="0" fontId="3" fillId="0" borderId="2" xfId="0" applyFont="1" applyBorder="1" applyProtection="1">
      <protection hidden="1"/>
    </xf>
    <xf numFmtId="0" fontId="3" fillId="0" borderId="2" xfId="0" applyFont="1" applyBorder="1" applyAlignment="1" applyProtection="1">
      <alignment horizontal="center"/>
      <protection hidden="1"/>
    </xf>
    <xf numFmtId="0" fontId="3" fillId="0" borderId="11" xfId="0" applyFont="1" applyBorder="1" applyAlignment="1" applyProtection="1">
      <alignment horizontal="center"/>
      <protection hidden="1"/>
    </xf>
    <xf numFmtId="0" fontId="3" fillId="0" borderId="10" xfId="0" applyFont="1" applyBorder="1" applyProtection="1">
      <protection hidden="1"/>
    </xf>
    <xf numFmtId="4" fontId="3" fillId="0" borderId="12" xfId="0" applyNumberFormat="1" applyFont="1" applyBorder="1" applyProtection="1">
      <protection hidden="1"/>
    </xf>
    <xf numFmtId="2" fontId="3" fillId="0" borderId="12" xfId="0" applyNumberFormat="1" applyFont="1" applyBorder="1" applyAlignment="1" applyProtection="1">
      <alignment horizontal="right"/>
      <protection hidden="1"/>
    </xf>
    <xf numFmtId="4" fontId="3" fillId="0" borderId="14" xfId="0" applyNumberFormat="1" applyFont="1" applyBorder="1" applyProtection="1">
      <protection hidden="1"/>
    </xf>
    <xf numFmtId="3" fontId="3" fillId="0" borderId="12" xfId="0" applyNumberFormat="1" applyFont="1" applyBorder="1" applyProtection="1">
      <protection hidden="1"/>
    </xf>
    <xf numFmtId="3" fontId="4" fillId="0" borderId="12" xfId="0" applyNumberFormat="1" applyFont="1" applyBorder="1" applyProtection="1">
      <protection hidden="1"/>
    </xf>
    <xf numFmtId="0" fontId="3" fillId="0" borderId="12" xfId="0" applyFont="1" applyBorder="1" applyProtection="1">
      <protection hidden="1"/>
    </xf>
    <xf numFmtId="0" fontId="3" fillId="0" borderId="12" xfId="0" applyFont="1" applyBorder="1" applyAlignment="1" applyProtection="1">
      <alignment horizontal="center"/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4" xfId="0" applyFont="1" applyBorder="1"/>
    <xf numFmtId="0" fontId="0" fillId="0" borderId="0" xfId="0" applyAlignment="1">
      <alignment horizontal="center"/>
    </xf>
    <xf numFmtId="0" fontId="3" fillId="0" borderId="19" xfId="0" applyFont="1" applyBorder="1" applyProtection="1">
      <protection hidden="1"/>
    </xf>
    <xf numFmtId="0" fontId="3" fillId="0" borderId="18" xfId="0" applyFont="1" applyBorder="1" applyProtection="1">
      <protection hidden="1"/>
    </xf>
    <xf numFmtId="0" fontId="3" fillId="0" borderId="14" xfId="0" applyFont="1" applyBorder="1" applyProtection="1">
      <protection hidden="1"/>
    </xf>
    <xf numFmtId="0" fontId="3" fillId="0" borderId="1" xfId="0" applyFont="1" applyBorder="1" applyProtection="1">
      <protection hidden="1"/>
    </xf>
    <xf numFmtId="0" fontId="1" fillId="0" borderId="4" xfId="0" applyFont="1" applyBorder="1" applyAlignment="1">
      <alignment horizontal="center"/>
    </xf>
    <xf numFmtId="0" fontId="3" fillId="17" borderId="0" xfId="0" applyFont="1" applyFill="1" applyProtection="1">
      <protection hidden="1"/>
    </xf>
    <xf numFmtId="0" fontId="4" fillId="17" borderId="0" xfId="0" applyFont="1" applyFill="1" applyProtection="1">
      <protection hidden="1"/>
    </xf>
    <xf numFmtId="0" fontId="3" fillId="17" borderId="10" xfId="0" applyFont="1" applyFill="1" applyBorder="1" applyProtection="1">
      <protection hidden="1"/>
    </xf>
    <xf numFmtId="4" fontId="3" fillId="17" borderId="0" xfId="0" applyNumberFormat="1" applyFont="1" applyFill="1" applyProtection="1">
      <protection hidden="1"/>
    </xf>
    <xf numFmtId="3" fontId="4" fillId="17" borderId="0" xfId="0" applyNumberFormat="1" applyFont="1" applyFill="1" applyProtection="1">
      <protection hidden="1"/>
    </xf>
    <xf numFmtId="0" fontId="3" fillId="17" borderId="0" xfId="0" applyFont="1" applyFill="1" applyAlignment="1" applyProtection="1">
      <alignment wrapText="1"/>
      <protection hidden="1"/>
    </xf>
    <xf numFmtId="2" fontId="0" fillId="0" borderId="4" xfId="0" applyNumberFormat="1" applyBorder="1"/>
    <xf numFmtId="0" fontId="3" fillId="18" borderId="0" xfId="0" applyFont="1" applyFill="1" applyProtection="1">
      <protection hidden="1"/>
    </xf>
    <xf numFmtId="0" fontId="4" fillId="18" borderId="0" xfId="0" applyFont="1" applyFill="1" applyProtection="1">
      <protection hidden="1"/>
    </xf>
    <xf numFmtId="0" fontId="3" fillId="18" borderId="10" xfId="0" applyFont="1" applyFill="1" applyBorder="1" applyProtection="1">
      <protection hidden="1"/>
    </xf>
    <xf numFmtId="4" fontId="3" fillId="18" borderId="0" xfId="0" applyNumberFormat="1" applyFont="1" applyFill="1" applyProtection="1">
      <protection hidden="1"/>
    </xf>
    <xf numFmtId="3" fontId="4" fillId="18" borderId="0" xfId="0" applyNumberFormat="1" applyFont="1" applyFill="1" applyProtection="1">
      <protection hidden="1"/>
    </xf>
    <xf numFmtId="0" fontId="3" fillId="18" borderId="0" xfId="0" applyFont="1" applyFill="1" applyAlignment="1" applyProtection="1">
      <alignment wrapText="1"/>
      <protection hidden="1"/>
    </xf>
    <xf numFmtId="0" fontId="3" fillId="15" borderId="0" xfId="0" applyFont="1" applyFill="1" applyProtection="1">
      <protection hidden="1"/>
    </xf>
    <xf numFmtId="2" fontId="0" fillId="3" borderId="2" xfId="0" applyNumberFormat="1" applyFill="1" applyBorder="1" applyAlignment="1">
      <alignment horizontal="right" wrapText="1"/>
    </xf>
    <xf numFmtId="2" fontId="0" fillId="4" borderId="0" xfId="0" applyNumberFormat="1" applyFill="1" applyAlignment="1">
      <alignment horizontal="right" wrapText="1"/>
    </xf>
    <xf numFmtId="2" fontId="0" fillId="0" borderId="0" xfId="0" applyNumberFormat="1"/>
    <xf numFmtId="2" fontId="0" fillId="5" borderId="0" xfId="0" applyNumberFormat="1" applyFill="1" applyAlignment="1">
      <alignment horizontal="right" wrapText="1"/>
    </xf>
    <xf numFmtId="2" fontId="0" fillId="6" borderId="3" xfId="0" applyNumberFormat="1" applyFill="1" applyBorder="1" applyAlignment="1">
      <alignment horizontal="right" wrapText="1"/>
    </xf>
    <xf numFmtId="0" fontId="0" fillId="11" borderId="0" xfId="0" applyFill="1" applyAlignment="1">
      <alignment horizontal="center" vertical="center" wrapText="1"/>
    </xf>
    <xf numFmtId="0" fontId="1" fillId="2" borderId="0" xfId="0" applyFont="1" applyFill="1" applyAlignment="1">
      <alignment horizontal="center" wrapText="1"/>
    </xf>
    <xf numFmtId="2" fontId="0" fillId="0" borderId="4" xfId="0" applyNumberFormat="1" applyBorder="1" applyAlignment="1">
      <alignment horizontal="center"/>
    </xf>
    <xf numFmtId="3" fontId="4" fillId="0" borderId="3" xfId="0" applyNumberFormat="1" applyFont="1" applyBorder="1" applyProtection="1">
      <protection hidden="1"/>
    </xf>
    <xf numFmtId="3" fontId="4" fillId="0" borderId="0" xfId="0" applyNumberFormat="1" applyFont="1" applyProtection="1">
      <protection hidden="1"/>
    </xf>
    <xf numFmtId="3" fontId="4" fillId="0" borderId="13" xfId="0" applyNumberFormat="1" applyFont="1" applyBorder="1" applyProtection="1">
      <protection hidden="1"/>
    </xf>
    <xf numFmtId="3" fontId="4" fillId="0" borderId="10" xfId="0" applyNumberFormat="1" applyFont="1" applyBorder="1" applyProtection="1">
      <protection hidden="1"/>
    </xf>
    <xf numFmtId="3" fontId="4" fillId="0" borderId="14" xfId="0" applyNumberFormat="1" applyFont="1" applyBorder="1" applyProtection="1">
      <protection hidden="1"/>
    </xf>
    <xf numFmtId="3" fontId="3" fillId="16" borderId="3" xfId="0" applyNumberFormat="1" applyFont="1" applyFill="1" applyBorder="1"/>
    <xf numFmtId="3" fontId="3" fillId="16" borderId="1" xfId="0" applyNumberFormat="1" applyFont="1" applyFill="1" applyBorder="1"/>
    <xf numFmtId="3" fontId="3" fillId="16" borderId="13" xfId="0" applyNumberFormat="1" applyFont="1" applyFill="1" applyBorder="1"/>
    <xf numFmtId="3" fontId="3" fillId="16" borderId="14" xfId="0" applyNumberFormat="1" applyFont="1" applyFill="1" applyBorder="1"/>
    <xf numFmtId="0" fontId="3" fillId="15" borderId="8" xfId="0" applyFont="1" applyFill="1" applyBorder="1" applyProtection="1">
      <protection hidden="1"/>
    </xf>
    <xf numFmtId="3" fontId="3" fillId="16" borderId="20" xfId="0" applyNumberFormat="1" applyFont="1" applyFill="1" applyBorder="1"/>
    <xf numFmtId="3" fontId="3" fillId="16" borderId="21" xfId="0" applyNumberFormat="1" applyFont="1" applyFill="1" applyBorder="1"/>
    <xf numFmtId="3" fontId="3" fillId="0" borderId="0" xfId="0" applyNumberFormat="1" applyFont="1"/>
    <xf numFmtId="0" fontId="3" fillId="0" borderId="3" xfId="0" applyFont="1" applyBorder="1" applyProtection="1">
      <protection hidden="1"/>
    </xf>
    <xf numFmtId="3" fontId="3" fillId="0" borderId="3" xfId="0" applyNumberFormat="1" applyFont="1" applyBorder="1"/>
    <xf numFmtId="3" fontId="3" fillId="0" borderId="1" xfId="0" applyNumberFormat="1" applyFont="1" applyBorder="1"/>
    <xf numFmtId="3" fontId="3" fillId="0" borderId="13" xfId="0" applyNumberFormat="1" applyFont="1" applyBorder="1"/>
    <xf numFmtId="3" fontId="3" fillId="0" borderId="14" xfId="0" applyNumberFormat="1" applyFont="1" applyBorder="1"/>
    <xf numFmtId="0" fontId="3" fillId="0" borderId="13" xfId="0" applyFont="1" applyBorder="1" applyProtection="1">
      <protection hidden="1"/>
    </xf>
    <xf numFmtId="3" fontId="3" fillId="0" borderId="10" xfId="0" applyNumberFormat="1" applyFont="1" applyBorder="1"/>
    <xf numFmtId="3" fontId="3" fillId="0" borderId="20" xfId="0" applyNumberFormat="1" applyFont="1" applyBorder="1"/>
    <xf numFmtId="3" fontId="3" fillId="0" borderId="21" xfId="0" applyNumberFormat="1" applyFont="1" applyBorder="1"/>
    <xf numFmtId="0" fontId="9" fillId="13" borderId="0" xfId="1" applyFont="1" applyFill="1"/>
    <xf numFmtId="0" fontId="3" fillId="13" borderId="0" xfId="1" applyFont="1" applyFill="1"/>
    <xf numFmtId="0" fontId="13" fillId="13" borderId="0" xfId="1" applyFont="1" applyFill="1"/>
    <xf numFmtId="0" fontId="12" fillId="13" borderId="0" xfId="1" applyFont="1" applyFill="1"/>
    <xf numFmtId="0" fontId="12" fillId="13" borderId="7" xfId="1" applyFont="1" applyFill="1" applyBorder="1"/>
    <xf numFmtId="0" fontId="3" fillId="13" borderId="8" xfId="1" applyFont="1" applyFill="1" applyBorder="1"/>
    <xf numFmtId="0" fontId="14" fillId="13" borderId="8" xfId="1" applyFont="1" applyFill="1" applyBorder="1"/>
    <xf numFmtId="0" fontId="13" fillId="13" borderId="8" xfId="1" applyFont="1" applyFill="1" applyBorder="1"/>
    <xf numFmtId="0" fontId="13" fillId="13" borderId="9" xfId="1" applyFont="1" applyFill="1" applyBorder="1"/>
    <xf numFmtId="0" fontId="3" fillId="13" borderId="5" xfId="1" applyFont="1" applyFill="1" applyBorder="1"/>
    <xf numFmtId="0" fontId="13" fillId="13" borderId="6" xfId="1" applyFont="1" applyFill="1" applyBorder="1"/>
    <xf numFmtId="0" fontId="4" fillId="13" borderId="0" xfId="1" applyFont="1" applyFill="1"/>
    <xf numFmtId="0" fontId="14" fillId="13" borderId="0" xfId="1" applyFont="1" applyFill="1"/>
    <xf numFmtId="0" fontId="1" fillId="13" borderId="0" xfId="1" applyFill="1"/>
    <xf numFmtId="0" fontId="15" fillId="13" borderId="0" xfId="1" applyFont="1" applyFill="1"/>
    <xf numFmtId="0" fontId="3" fillId="13" borderId="0" xfId="1" applyFont="1" applyFill="1" applyProtection="1">
      <protection hidden="1"/>
    </xf>
    <xf numFmtId="0" fontId="14" fillId="0" borderId="0" xfId="1" applyFont="1"/>
    <xf numFmtId="0" fontId="3" fillId="13" borderId="22" xfId="1" applyFont="1" applyFill="1" applyBorder="1"/>
    <xf numFmtId="0" fontId="3" fillId="13" borderId="10" xfId="1" applyFont="1" applyFill="1" applyBorder="1"/>
    <xf numFmtId="0" fontId="14" fillId="13" borderId="10" xfId="1" applyFont="1" applyFill="1" applyBorder="1"/>
    <xf numFmtId="0" fontId="13" fillId="13" borderId="10" xfId="1" applyFont="1" applyFill="1" applyBorder="1"/>
    <xf numFmtId="0" fontId="13" fillId="13" borderId="23" xfId="1" applyFont="1" applyFill="1" applyBorder="1"/>
    <xf numFmtId="0" fontId="16" fillId="3" borderId="7" xfId="1" applyFont="1" applyFill="1" applyBorder="1"/>
    <xf numFmtId="0" fontId="13" fillId="3" borderId="9" xfId="1" applyFont="1" applyFill="1" applyBorder="1"/>
    <xf numFmtId="0" fontId="3" fillId="13" borderId="7" xfId="1" applyFont="1" applyFill="1" applyBorder="1"/>
    <xf numFmtId="0" fontId="3" fillId="13" borderId="9" xfId="1" applyFont="1" applyFill="1" applyBorder="1"/>
    <xf numFmtId="0" fontId="1" fillId="0" borderId="0" xfId="1"/>
    <xf numFmtId="0" fontId="3" fillId="18" borderId="5" xfId="1" applyFont="1" applyFill="1" applyBorder="1"/>
    <xf numFmtId="0" fontId="3" fillId="18" borderId="6" xfId="1" applyFont="1" applyFill="1" applyBorder="1"/>
    <xf numFmtId="0" fontId="3" fillId="14" borderId="0" xfId="1" applyFont="1" applyFill="1"/>
    <xf numFmtId="17" fontId="3" fillId="17" borderId="5" xfId="1" applyNumberFormat="1" applyFont="1" applyFill="1" applyBorder="1"/>
    <xf numFmtId="0" fontId="3" fillId="17" borderId="6" xfId="1" applyFont="1" applyFill="1" applyBorder="1"/>
    <xf numFmtId="17" fontId="3" fillId="22" borderId="5" xfId="1" applyNumberFormat="1" applyFont="1" applyFill="1" applyBorder="1"/>
    <xf numFmtId="0" fontId="3" fillId="22" borderId="6" xfId="1" applyFont="1" applyFill="1" applyBorder="1"/>
    <xf numFmtId="17" fontId="3" fillId="19" borderId="5" xfId="1" applyNumberFormat="1" applyFont="1" applyFill="1" applyBorder="1"/>
    <xf numFmtId="0" fontId="3" fillId="19" borderId="6" xfId="1" applyFont="1" applyFill="1" applyBorder="1"/>
    <xf numFmtId="17" fontId="3" fillId="23" borderId="5" xfId="1" applyNumberFormat="1" applyFont="1" applyFill="1" applyBorder="1"/>
    <xf numFmtId="0" fontId="3" fillId="23" borderId="6" xfId="1" applyFont="1" applyFill="1" applyBorder="1"/>
    <xf numFmtId="17" fontId="3" fillId="21" borderId="5" xfId="1" applyNumberFormat="1" applyFont="1" applyFill="1" applyBorder="1"/>
    <xf numFmtId="0" fontId="3" fillId="21" borderId="6" xfId="1" applyFont="1" applyFill="1" applyBorder="1"/>
    <xf numFmtId="0" fontId="3" fillId="24" borderId="22" xfId="1" applyFont="1" applyFill="1" applyBorder="1"/>
    <xf numFmtId="0" fontId="3" fillId="24" borderId="23" xfId="1" applyFont="1" applyFill="1" applyBorder="1"/>
    <xf numFmtId="0" fontId="3" fillId="22" borderId="0" xfId="1" applyFont="1" applyFill="1" applyProtection="1">
      <protection hidden="1"/>
    </xf>
    <xf numFmtId="0" fontId="1" fillId="22" borderId="0" xfId="1" applyFill="1" applyProtection="1">
      <protection hidden="1"/>
    </xf>
    <xf numFmtId="0" fontId="4" fillId="22" borderId="0" xfId="1" applyFont="1" applyFill="1" applyProtection="1">
      <protection hidden="1"/>
    </xf>
    <xf numFmtId="0" fontId="3" fillId="22" borderId="10" xfId="1" applyFont="1" applyFill="1" applyBorder="1" applyProtection="1">
      <protection hidden="1"/>
    </xf>
    <xf numFmtId="0" fontId="5" fillId="13" borderId="7" xfId="1" applyFont="1" applyFill="1" applyBorder="1" applyProtection="1">
      <protection hidden="1"/>
    </xf>
    <xf numFmtId="0" fontId="3" fillId="13" borderId="8" xfId="1" applyFont="1" applyFill="1" applyBorder="1" applyProtection="1">
      <protection hidden="1"/>
    </xf>
    <xf numFmtId="0" fontId="3" fillId="16" borderId="8" xfId="1" applyFont="1" applyFill="1" applyBorder="1" applyProtection="1">
      <protection hidden="1"/>
    </xf>
    <xf numFmtId="0" fontId="3" fillId="13" borderId="9" xfId="1" applyFont="1" applyFill="1" applyBorder="1" applyProtection="1">
      <protection hidden="1"/>
    </xf>
    <xf numFmtId="0" fontId="3" fillId="13" borderId="5" xfId="1" applyFont="1" applyFill="1" applyBorder="1" applyProtection="1">
      <protection hidden="1"/>
    </xf>
    <xf numFmtId="0" fontId="4" fillId="14" borderId="0" xfId="1" applyFont="1" applyFill="1" applyProtection="1">
      <protection locked="0"/>
    </xf>
    <xf numFmtId="0" fontId="3" fillId="16" borderId="0" xfId="1" applyFont="1" applyFill="1" applyProtection="1">
      <protection hidden="1"/>
    </xf>
    <xf numFmtId="0" fontId="3" fillId="13" borderId="6" xfId="1" applyFont="1" applyFill="1" applyBorder="1" applyProtection="1">
      <protection hidden="1"/>
    </xf>
    <xf numFmtId="0" fontId="5" fillId="3" borderId="4" xfId="1" applyFont="1" applyFill="1" applyBorder="1" applyAlignment="1" applyProtection="1">
      <alignment wrapText="1"/>
      <protection hidden="1"/>
    </xf>
    <xf numFmtId="0" fontId="4" fillId="3" borderId="4" xfId="1" applyFont="1" applyFill="1" applyBorder="1" applyAlignment="1" applyProtection="1">
      <alignment wrapText="1"/>
      <protection hidden="1"/>
    </xf>
    <xf numFmtId="0" fontId="3" fillId="3" borderId="4" xfId="1" applyFont="1" applyFill="1" applyBorder="1" applyAlignment="1" applyProtection="1">
      <alignment horizontal="center" wrapText="1"/>
      <protection hidden="1"/>
    </xf>
    <xf numFmtId="0" fontId="4" fillId="3" borderId="4" xfId="1" applyFont="1" applyFill="1" applyBorder="1" applyAlignment="1" applyProtection="1">
      <alignment horizontal="center" wrapText="1"/>
      <protection hidden="1"/>
    </xf>
    <xf numFmtId="0" fontId="3" fillId="3" borderId="24" xfId="1" applyFont="1" applyFill="1" applyBorder="1" applyAlignment="1" applyProtection="1">
      <alignment horizontal="center" wrapText="1"/>
      <protection hidden="1"/>
    </xf>
    <xf numFmtId="0" fontId="3" fillId="22" borderId="0" xfId="1" applyFont="1" applyFill="1" applyAlignment="1" applyProtection="1">
      <alignment wrapText="1"/>
      <protection hidden="1"/>
    </xf>
    <xf numFmtId="0" fontId="3" fillId="0" borderId="19" xfId="1" applyFont="1" applyBorder="1" applyProtection="1">
      <protection hidden="1"/>
    </xf>
    <xf numFmtId="0" fontId="3" fillId="0" borderId="0" xfId="1" applyFont="1" applyProtection="1">
      <protection hidden="1"/>
    </xf>
    <xf numFmtId="4" fontId="3" fillId="0" borderId="2" xfId="1" applyNumberFormat="1" applyFont="1" applyBorder="1" applyProtection="1">
      <protection hidden="1"/>
    </xf>
    <xf numFmtId="4" fontId="3" fillId="0" borderId="3" xfId="1" applyNumberFormat="1" applyFont="1" applyBorder="1" applyProtection="1">
      <protection hidden="1"/>
    </xf>
    <xf numFmtId="2" fontId="3" fillId="0" borderId="2" xfId="1" applyNumberFormat="1" applyFont="1" applyBorder="1" applyAlignment="1" applyProtection="1">
      <alignment horizontal="right"/>
      <protection hidden="1"/>
    </xf>
    <xf numFmtId="4" fontId="3" fillId="0" borderId="1" xfId="1" applyNumberFormat="1" applyFont="1" applyBorder="1" applyProtection="1">
      <protection hidden="1"/>
    </xf>
    <xf numFmtId="3" fontId="3" fillId="0" borderId="2" xfId="1" applyNumberFormat="1" applyFont="1" applyBorder="1" applyProtection="1">
      <protection hidden="1"/>
    </xf>
    <xf numFmtId="3" fontId="4" fillId="0" borderId="2" xfId="1" applyNumberFormat="1" applyFont="1" applyBorder="1" applyProtection="1">
      <protection hidden="1"/>
    </xf>
    <xf numFmtId="0" fontId="3" fillId="0" borderId="2" xfId="1" applyFont="1" applyBorder="1" applyProtection="1">
      <protection hidden="1"/>
    </xf>
    <xf numFmtId="0" fontId="3" fillId="0" borderId="2" xfId="1" applyFont="1" applyBorder="1" applyAlignment="1" applyProtection="1">
      <alignment horizontal="center"/>
      <protection hidden="1"/>
    </xf>
    <xf numFmtId="0" fontId="3" fillId="0" borderId="11" xfId="1" applyFont="1" applyBorder="1" applyAlignment="1" applyProtection="1">
      <alignment horizontal="center"/>
      <protection hidden="1"/>
    </xf>
    <xf numFmtId="0" fontId="3" fillId="0" borderId="1" xfId="1" applyFont="1" applyBorder="1" applyProtection="1">
      <protection hidden="1"/>
    </xf>
    <xf numFmtId="0" fontId="3" fillId="0" borderId="18" xfId="1" applyFont="1" applyBorder="1" applyProtection="1">
      <protection hidden="1"/>
    </xf>
    <xf numFmtId="0" fontId="3" fillId="0" borderId="14" xfId="1" applyFont="1" applyBorder="1" applyProtection="1">
      <protection hidden="1"/>
    </xf>
    <xf numFmtId="4" fontId="3" fillId="0" borderId="12" xfId="1" applyNumberFormat="1" applyFont="1" applyBorder="1" applyProtection="1">
      <protection hidden="1"/>
    </xf>
    <xf numFmtId="2" fontId="3" fillId="0" borderId="12" xfId="1" applyNumberFormat="1" applyFont="1" applyBorder="1" applyAlignment="1" applyProtection="1">
      <alignment horizontal="right"/>
      <protection hidden="1"/>
    </xf>
    <xf numFmtId="3" fontId="3" fillId="0" borderId="12" xfId="1" applyNumberFormat="1" applyFont="1" applyBorder="1" applyProtection="1">
      <protection hidden="1"/>
    </xf>
    <xf numFmtId="3" fontId="4" fillId="0" borderId="12" xfId="1" applyNumberFormat="1" applyFont="1" applyBorder="1" applyProtection="1">
      <protection hidden="1"/>
    </xf>
    <xf numFmtId="0" fontId="3" fillId="0" borderId="12" xfId="1" applyFont="1" applyBorder="1" applyProtection="1">
      <protection hidden="1"/>
    </xf>
    <xf numFmtId="0" fontId="3" fillId="0" borderId="12" xfId="1" applyFont="1" applyBorder="1" applyAlignment="1" applyProtection="1">
      <alignment horizontal="center"/>
      <protection hidden="1"/>
    </xf>
    <xf numFmtId="0" fontId="3" fillId="0" borderId="15" xfId="1" applyFont="1" applyBorder="1" applyAlignment="1" applyProtection="1">
      <alignment horizontal="center"/>
      <protection hidden="1"/>
    </xf>
    <xf numFmtId="4" fontId="3" fillId="22" borderId="0" xfId="1" applyNumberFormat="1" applyFont="1" applyFill="1" applyProtection="1">
      <protection hidden="1"/>
    </xf>
    <xf numFmtId="3" fontId="4" fillId="22" borderId="0" xfId="1" applyNumberFormat="1" applyFont="1" applyFill="1" applyProtection="1">
      <protection hidden="1"/>
    </xf>
    <xf numFmtId="4" fontId="3" fillId="13" borderId="8" xfId="1" applyNumberFormat="1" applyFont="1" applyFill="1" applyBorder="1" applyProtection="1">
      <protection hidden="1"/>
    </xf>
    <xf numFmtId="3" fontId="4" fillId="13" borderId="8" xfId="1" applyNumberFormat="1" applyFont="1" applyFill="1" applyBorder="1" applyProtection="1">
      <protection hidden="1"/>
    </xf>
    <xf numFmtId="4" fontId="3" fillId="13" borderId="0" xfId="1" applyNumberFormat="1" applyFont="1" applyFill="1" applyProtection="1">
      <protection hidden="1"/>
    </xf>
    <xf numFmtId="3" fontId="4" fillId="13" borderId="0" xfId="1" applyNumberFormat="1" applyFont="1" applyFill="1" applyProtection="1">
      <protection hidden="1"/>
    </xf>
    <xf numFmtId="9" fontId="4" fillId="14" borderId="0" xfId="1" applyNumberFormat="1" applyFont="1" applyFill="1" applyProtection="1">
      <protection locked="0"/>
    </xf>
    <xf numFmtId="0" fontId="3" fillId="0" borderId="10" xfId="1" applyFont="1" applyBorder="1" applyProtection="1">
      <protection hidden="1"/>
    </xf>
    <xf numFmtId="4" fontId="3" fillId="0" borderId="13" xfId="1" applyNumberFormat="1" applyFont="1" applyBorder="1" applyProtection="1">
      <protection hidden="1"/>
    </xf>
    <xf numFmtId="4" fontId="3" fillId="0" borderId="14" xfId="1" applyNumberFormat="1" applyFont="1" applyBorder="1" applyProtection="1">
      <protection hidden="1"/>
    </xf>
    <xf numFmtId="0" fontId="1" fillId="13" borderId="8" xfId="1" applyFill="1" applyBorder="1" applyProtection="1">
      <protection hidden="1"/>
    </xf>
    <xf numFmtId="0" fontId="1" fillId="13" borderId="0" xfId="1" applyFill="1" applyProtection="1">
      <protection hidden="1"/>
    </xf>
    <xf numFmtId="0" fontId="1" fillId="0" borderId="0" xfId="1" applyProtection="1">
      <protection hidden="1"/>
    </xf>
    <xf numFmtId="0" fontId="3" fillId="19" borderId="0" xfId="1" applyFont="1" applyFill="1" applyProtection="1">
      <protection hidden="1"/>
    </xf>
    <xf numFmtId="0" fontId="1" fillId="19" borderId="0" xfId="1" applyFill="1" applyProtection="1">
      <protection hidden="1"/>
    </xf>
    <xf numFmtId="0" fontId="4" fillId="19" borderId="0" xfId="1" applyFont="1" applyFill="1" applyProtection="1">
      <protection hidden="1"/>
    </xf>
    <xf numFmtId="0" fontId="3" fillId="19" borderId="10" xfId="1" applyFont="1" applyFill="1" applyBorder="1" applyProtection="1">
      <protection hidden="1"/>
    </xf>
    <xf numFmtId="0" fontId="3" fillId="19" borderId="0" xfId="1" applyFont="1" applyFill="1" applyAlignment="1" applyProtection="1">
      <alignment wrapText="1"/>
      <protection hidden="1"/>
    </xf>
    <xf numFmtId="0" fontId="3" fillId="0" borderId="2" xfId="1" applyFont="1" applyBorder="1" applyAlignment="1" applyProtection="1">
      <alignment horizontal="right"/>
      <protection hidden="1"/>
    </xf>
    <xf numFmtId="0" fontId="3" fillId="0" borderId="11" xfId="1" applyFont="1" applyBorder="1" applyAlignment="1" applyProtection="1">
      <alignment horizontal="right"/>
      <protection hidden="1"/>
    </xf>
    <xf numFmtId="0" fontId="1" fillId="20" borderId="0" xfId="1" applyFill="1" applyProtection="1">
      <protection hidden="1"/>
    </xf>
    <xf numFmtId="0" fontId="3" fillId="0" borderId="12" xfId="1" applyFont="1" applyBorder="1" applyAlignment="1" applyProtection="1">
      <alignment horizontal="right"/>
      <protection hidden="1"/>
    </xf>
    <xf numFmtId="0" fontId="3" fillId="0" borderId="15" xfId="1" applyFont="1" applyBorder="1" applyAlignment="1" applyProtection="1">
      <alignment horizontal="right"/>
      <protection hidden="1"/>
    </xf>
    <xf numFmtId="4" fontId="3" fillId="19" borderId="0" xfId="1" applyNumberFormat="1" applyFont="1" applyFill="1" applyProtection="1">
      <protection hidden="1"/>
    </xf>
    <xf numFmtId="3" fontId="4" fillId="19" borderId="0" xfId="1" applyNumberFormat="1" applyFont="1" applyFill="1" applyProtection="1">
      <protection hidden="1"/>
    </xf>
    <xf numFmtId="0" fontId="1" fillId="15" borderId="0" xfId="1" applyFill="1" applyProtection="1">
      <protection hidden="1"/>
    </xf>
    <xf numFmtId="0" fontId="1" fillId="23" borderId="0" xfId="1" applyFill="1" applyProtection="1">
      <protection hidden="1"/>
    </xf>
    <xf numFmtId="0" fontId="1" fillId="21" borderId="0" xfId="1" applyFill="1" applyProtection="1">
      <protection hidden="1"/>
    </xf>
    <xf numFmtId="0" fontId="3" fillId="23" borderId="0" xfId="1" applyFont="1" applyFill="1" applyProtection="1">
      <protection hidden="1"/>
    </xf>
    <xf numFmtId="0" fontId="4" fillId="23" borderId="0" xfId="1" applyFont="1" applyFill="1" applyProtection="1">
      <protection hidden="1"/>
    </xf>
    <xf numFmtId="0" fontId="5" fillId="3" borderId="25" xfId="1" applyFont="1" applyFill="1" applyBorder="1" applyAlignment="1" applyProtection="1">
      <alignment wrapText="1"/>
      <protection hidden="1"/>
    </xf>
    <xf numFmtId="0" fontId="5" fillId="3" borderId="26" xfId="1" applyFont="1" applyFill="1" applyBorder="1" applyAlignment="1" applyProtection="1">
      <alignment wrapText="1"/>
      <protection hidden="1"/>
    </xf>
    <xf numFmtId="0" fontId="5" fillId="3" borderId="27" xfId="1" applyFont="1" applyFill="1" applyBorder="1" applyAlignment="1" applyProtection="1">
      <alignment wrapText="1"/>
      <protection hidden="1"/>
    </xf>
    <xf numFmtId="0" fontId="3" fillId="23" borderId="0" xfId="1" applyFont="1" applyFill="1" applyAlignment="1" applyProtection="1">
      <alignment wrapText="1"/>
      <protection hidden="1"/>
    </xf>
    <xf numFmtId="0" fontId="3" fillId="0" borderId="5" xfId="1" applyFont="1" applyBorder="1" applyProtection="1">
      <protection hidden="1"/>
    </xf>
    <xf numFmtId="0" fontId="3" fillId="0" borderId="22" xfId="1" applyFont="1" applyBorder="1" applyProtection="1">
      <protection hidden="1"/>
    </xf>
    <xf numFmtId="4" fontId="3" fillId="23" borderId="0" xfId="1" applyNumberFormat="1" applyFont="1" applyFill="1" applyProtection="1">
      <protection hidden="1"/>
    </xf>
    <xf numFmtId="3" fontId="4" fillId="23" borderId="0" xfId="1" applyNumberFormat="1" applyFont="1" applyFill="1" applyProtection="1">
      <protection hidden="1"/>
    </xf>
    <xf numFmtId="0" fontId="4" fillId="3" borderId="25" xfId="1" applyFont="1" applyFill="1" applyBorder="1" applyAlignment="1" applyProtection="1">
      <alignment horizontal="center" wrapText="1"/>
      <protection hidden="1"/>
    </xf>
    <xf numFmtId="0" fontId="3" fillId="3" borderId="27" xfId="1" applyFont="1" applyFill="1" applyBorder="1" applyAlignment="1" applyProtection="1">
      <alignment horizontal="center" wrapText="1"/>
      <protection hidden="1"/>
    </xf>
    <xf numFmtId="2" fontId="1" fillId="0" borderId="0" xfId="1" applyNumberFormat="1" applyProtection="1">
      <protection hidden="1"/>
    </xf>
    <xf numFmtId="2" fontId="1" fillId="0" borderId="10" xfId="1" applyNumberFormat="1" applyBorder="1" applyProtection="1">
      <protection hidden="1"/>
    </xf>
    <xf numFmtId="0" fontId="3" fillId="23" borderId="10" xfId="1" applyFont="1" applyFill="1" applyBorder="1" applyProtection="1">
      <protection hidden="1"/>
    </xf>
    <xf numFmtId="4" fontId="6" fillId="0" borderId="0" xfId="1" applyNumberFormat="1" applyFont="1" applyProtection="1">
      <protection hidden="1"/>
    </xf>
    <xf numFmtId="4" fontId="6" fillId="0" borderId="10" xfId="1" applyNumberFormat="1" applyFont="1" applyBorder="1" applyProtection="1">
      <protection hidden="1"/>
    </xf>
    <xf numFmtId="0" fontId="3" fillId="21" borderId="0" xfId="1" applyFont="1" applyFill="1" applyProtection="1">
      <protection hidden="1"/>
    </xf>
    <xf numFmtId="0" fontId="4" fillId="21" borderId="0" xfId="1" applyFont="1" applyFill="1" applyProtection="1">
      <protection hidden="1"/>
    </xf>
    <xf numFmtId="0" fontId="3" fillId="21" borderId="10" xfId="1" applyFont="1" applyFill="1" applyBorder="1" applyProtection="1">
      <protection hidden="1"/>
    </xf>
    <xf numFmtId="0" fontId="3" fillId="21" borderId="0" xfId="1" applyFont="1" applyFill="1" applyAlignment="1" applyProtection="1">
      <alignment wrapText="1"/>
      <protection hidden="1"/>
    </xf>
    <xf numFmtId="0" fontId="1" fillId="25" borderId="0" xfId="1" applyFill="1" applyProtection="1">
      <protection hidden="1"/>
    </xf>
    <xf numFmtId="4" fontId="3" fillId="21" borderId="0" xfId="1" applyNumberFormat="1" applyFont="1" applyFill="1" applyProtection="1">
      <protection hidden="1"/>
    </xf>
    <xf numFmtId="3" fontId="4" fillId="21" borderId="0" xfId="1" applyNumberFormat="1" applyFont="1" applyFill="1" applyProtection="1">
      <protection hidden="1"/>
    </xf>
    <xf numFmtId="0" fontId="3" fillId="26" borderId="0" xfId="1" applyFont="1" applyFill="1" applyProtection="1">
      <protection hidden="1"/>
    </xf>
    <xf numFmtId="0" fontId="4" fillId="26" borderId="0" xfId="1" applyFont="1" applyFill="1" applyProtection="1">
      <protection hidden="1"/>
    </xf>
    <xf numFmtId="0" fontId="3" fillId="26" borderId="10" xfId="1" applyFont="1" applyFill="1" applyBorder="1" applyProtection="1">
      <protection hidden="1"/>
    </xf>
    <xf numFmtId="0" fontId="3" fillId="26" borderId="0" xfId="1" applyFont="1" applyFill="1" applyAlignment="1" applyProtection="1">
      <alignment wrapText="1"/>
      <protection hidden="1"/>
    </xf>
    <xf numFmtId="0" fontId="1" fillId="2" borderId="0" xfId="1" applyFill="1" applyProtection="1">
      <protection hidden="1"/>
    </xf>
    <xf numFmtId="4" fontId="3" fillId="26" borderId="0" xfId="1" applyNumberFormat="1" applyFont="1" applyFill="1" applyProtection="1">
      <protection hidden="1"/>
    </xf>
    <xf numFmtId="3" fontId="4" fillId="26" borderId="0" xfId="1" applyNumberFormat="1" applyFont="1" applyFill="1" applyProtection="1">
      <protection hidden="1"/>
    </xf>
    <xf numFmtId="2" fontId="1" fillId="0" borderId="12" xfId="1" applyNumberFormat="1" applyBorder="1" applyProtection="1">
      <protection hidden="1"/>
    </xf>
    <xf numFmtId="0" fontId="17" fillId="0" borderId="4" xfId="0" applyFont="1" applyBorder="1"/>
    <xf numFmtId="14" fontId="17" fillId="0" borderId="4" xfId="0" applyNumberFormat="1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1" fontId="17" fillId="0" borderId="4" xfId="0" applyNumberFormat="1" applyFont="1" applyBorder="1"/>
    <xf numFmtId="2" fontId="18" fillId="0" borderId="4" xfId="0" applyNumberFormat="1" applyFont="1" applyBorder="1"/>
    <xf numFmtId="0" fontId="18" fillId="0" borderId="4" xfId="0" applyFont="1" applyBorder="1"/>
    <xf numFmtId="0" fontId="17" fillId="0" borderId="4" xfId="0" applyFont="1" applyBorder="1" applyAlignment="1">
      <alignment horizontal="left"/>
    </xf>
    <xf numFmtId="14" fontId="17" fillId="0" borderId="4" xfId="0" applyNumberFormat="1" applyFont="1" applyBorder="1" applyAlignment="1">
      <alignment horizontal="right"/>
    </xf>
    <xf numFmtId="3" fontId="4" fillId="0" borderId="1" xfId="0" applyNumberFormat="1" applyFont="1" applyBorder="1" applyProtection="1">
      <protection hidden="1"/>
    </xf>
    <xf numFmtId="0" fontId="20" fillId="0" borderId="0" xfId="2" applyFill="1" applyBorder="1" applyAlignment="1">
      <alignment horizontal="left"/>
    </xf>
    <xf numFmtId="14" fontId="17" fillId="0" borderId="4" xfId="0" applyNumberFormat="1" applyFont="1" applyBorder="1"/>
    <xf numFmtId="0" fontId="5" fillId="3" borderId="25" xfId="0" applyFont="1" applyFill="1" applyBorder="1" applyAlignment="1" applyProtection="1">
      <alignment wrapText="1"/>
      <protection hidden="1"/>
    </xf>
    <xf numFmtId="0" fontId="5" fillId="3" borderId="27" xfId="0" applyFont="1" applyFill="1" applyBorder="1" applyAlignment="1" applyProtection="1">
      <alignment wrapText="1"/>
      <protection hidden="1"/>
    </xf>
    <xf numFmtId="0" fontId="3" fillId="26" borderId="0" xfId="1" applyFont="1" applyFill="1" applyAlignment="1" applyProtection="1">
      <alignment wrapText="1"/>
      <protection locked="0"/>
    </xf>
    <xf numFmtId="0" fontId="5" fillId="3" borderId="4" xfId="0" applyFont="1" applyFill="1" applyBorder="1" applyAlignment="1" applyProtection="1">
      <alignment wrapText="1"/>
      <protection hidden="1"/>
    </xf>
    <xf numFmtId="0" fontId="5" fillId="16" borderId="4" xfId="0" applyFont="1" applyFill="1" applyBorder="1" applyAlignment="1" applyProtection="1">
      <alignment wrapText="1"/>
      <protection hidden="1"/>
    </xf>
    <xf numFmtId="0" fontId="4" fillId="16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wrapText="1"/>
      <protection hidden="1"/>
    </xf>
    <xf numFmtId="0" fontId="3" fillId="3" borderId="4" xfId="0" applyFont="1" applyFill="1" applyBorder="1" applyAlignment="1" applyProtection="1">
      <alignment horizontal="center" wrapText="1"/>
      <protection hidden="1"/>
    </xf>
    <xf numFmtId="0" fontId="3" fillId="16" borderId="4" xfId="0" applyFont="1" applyFill="1" applyBorder="1" applyAlignment="1" applyProtection="1">
      <alignment horizontal="center" wrapText="1"/>
      <protection hidden="1"/>
    </xf>
    <xf numFmtId="0" fontId="4" fillId="16" borderId="4" xfId="0" applyFont="1" applyFill="1" applyBorder="1" applyAlignment="1" applyProtection="1">
      <alignment horizontal="center"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3" fillId="3" borderId="24" xfId="0" applyFont="1" applyFill="1" applyBorder="1" applyAlignment="1" applyProtection="1">
      <alignment horizontal="center" wrapText="1"/>
      <protection hidden="1"/>
    </xf>
    <xf numFmtId="14" fontId="0" fillId="0" borderId="4" xfId="0" applyNumberFormat="1" applyBorder="1" applyAlignment="1">
      <alignment horizontal="center"/>
    </xf>
    <xf numFmtId="0" fontId="3" fillId="27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3" fillId="27" borderId="10" xfId="0" applyFont="1" applyFill="1" applyBorder="1" applyProtection="1">
      <protection hidden="1"/>
    </xf>
    <xf numFmtId="4" fontId="3" fillId="27" borderId="0" xfId="0" applyNumberFormat="1" applyFont="1" applyFill="1" applyProtection="1">
      <protection hidden="1"/>
    </xf>
    <xf numFmtId="3" fontId="4" fillId="27" borderId="0" xfId="0" applyNumberFormat="1" applyFont="1" applyFill="1" applyProtection="1">
      <protection hidden="1"/>
    </xf>
    <xf numFmtId="0" fontId="3" fillId="27" borderId="0" xfId="0" applyFont="1" applyFill="1" applyAlignment="1" applyProtection="1">
      <alignment wrapText="1"/>
      <protection hidden="1"/>
    </xf>
    <xf numFmtId="0" fontId="3" fillId="28" borderId="0" xfId="0" applyFont="1" applyFill="1" applyProtection="1">
      <protection hidden="1"/>
    </xf>
    <xf numFmtId="0" fontId="4" fillId="28" borderId="0" xfId="0" applyFont="1" applyFill="1" applyProtection="1">
      <protection hidden="1"/>
    </xf>
    <xf numFmtId="0" fontId="3" fillId="28" borderId="10" xfId="0" applyFont="1" applyFill="1" applyBorder="1" applyProtection="1">
      <protection hidden="1"/>
    </xf>
    <xf numFmtId="4" fontId="3" fillId="28" borderId="0" xfId="0" applyNumberFormat="1" applyFont="1" applyFill="1" applyProtection="1">
      <protection hidden="1"/>
    </xf>
    <xf numFmtId="3" fontId="4" fillId="28" borderId="0" xfId="0" applyNumberFormat="1" applyFont="1" applyFill="1" applyProtection="1">
      <protection hidden="1"/>
    </xf>
    <xf numFmtId="0" fontId="3" fillId="28" borderId="0" xfId="0" applyFont="1" applyFill="1" applyAlignment="1" applyProtection="1">
      <alignment wrapText="1"/>
      <protection hidden="1"/>
    </xf>
    <xf numFmtId="17" fontId="3" fillId="27" borderId="5" xfId="1" applyNumberFormat="1" applyFont="1" applyFill="1" applyBorder="1"/>
    <xf numFmtId="0" fontId="3" fillId="27" borderId="6" xfId="1" applyFont="1" applyFill="1" applyBorder="1"/>
    <xf numFmtId="0" fontId="3" fillId="28" borderId="5" xfId="1" applyFont="1" applyFill="1" applyBorder="1"/>
    <xf numFmtId="0" fontId="3" fillId="28" borderId="6" xfId="1" applyFont="1" applyFill="1" applyBorder="1"/>
    <xf numFmtId="2" fontId="1" fillId="3" borderId="2" xfId="0" applyNumberFormat="1" applyFont="1" applyFill="1" applyBorder="1" applyAlignment="1">
      <alignment horizontal="right" wrapText="1"/>
    </xf>
    <xf numFmtId="2" fontId="1" fillId="4" borderId="0" xfId="0" applyNumberFormat="1" applyFont="1" applyFill="1" applyAlignment="1">
      <alignment horizontal="right" wrapText="1"/>
    </xf>
    <xf numFmtId="2" fontId="1" fillId="4" borderId="1" xfId="0" applyNumberFormat="1" applyFont="1" applyFill="1" applyBorder="1" applyAlignment="1">
      <alignment horizontal="right" wrapText="1"/>
    </xf>
    <xf numFmtId="2" fontId="1" fillId="5" borderId="0" xfId="0" applyNumberFormat="1" applyFont="1" applyFill="1" applyAlignment="1">
      <alignment horizontal="right" wrapText="1"/>
    </xf>
    <xf numFmtId="2" fontId="1" fillId="6" borderId="3" xfId="0" applyNumberFormat="1" applyFont="1" applyFill="1" applyBorder="1" applyAlignment="1">
      <alignment horizontal="right" wrapText="1"/>
    </xf>
    <xf numFmtId="2" fontId="1" fillId="7" borderId="0" xfId="0" applyNumberFormat="1" applyFont="1" applyFill="1" applyAlignment="1">
      <alignment horizontal="right" wrapText="1"/>
    </xf>
    <xf numFmtId="2" fontId="1" fillId="8" borderId="0" xfId="0" applyNumberFormat="1" applyFont="1" applyFill="1" applyAlignment="1">
      <alignment horizontal="right" wrapText="1"/>
    </xf>
    <xf numFmtId="0" fontId="1" fillId="8" borderId="0" xfId="0" applyFont="1" applyFill="1" applyAlignment="1">
      <alignment horizontal="right" wrapText="1"/>
    </xf>
    <xf numFmtId="0" fontId="17" fillId="0" borderId="0" xfId="0" applyFont="1" applyAlignment="1">
      <alignment horizontal="left"/>
    </xf>
    <xf numFmtId="0" fontId="3" fillId="29" borderId="0" xfId="0" applyFont="1" applyFill="1" applyProtection="1">
      <protection hidden="1"/>
    </xf>
    <xf numFmtId="0" fontId="4" fillId="29" borderId="0" xfId="0" applyFont="1" applyFill="1" applyProtection="1">
      <protection hidden="1"/>
    </xf>
    <xf numFmtId="0" fontId="3" fillId="29" borderId="10" xfId="0" applyFont="1" applyFill="1" applyBorder="1" applyProtection="1">
      <protection hidden="1"/>
    </xf>
    <xf numFmtId="4" fontId="3" fillId="29" borderId="0" xfId="0" applyNumberFormat="1" applyFont="1" applyFill="1" applyProtection="1">
      <protection hidden="1"/>
    </xf>
    <xf numFmtId="3" fontId="4" fillId="29" borderId="0" xfId="0" applyNumberFormat="1" applyFont="1" applyFill="1" applyProtection="1">
      <protection hidden="1"/>
    </xf>
    <xf numFmtId="0" fontId="3" fillId="29" borderId="0" xfId="0" applyFont="1" applyFill="1" applyAlignment="1" applyProtection="1">
      <alignment wrapText="1"/>
      <protection hidden="1"/>
    </xf>
    <xf numFmtId="0" fontId="3" fillId="29" borderId="5" xfId="1" applyFont="1" applyFill="1" applyBorder="1"/>
    <xf numFmtId="0" fontId="3" fillId="29" borderId="6" xfId="1" applyFont="1" applyFill="1" applyBorder="1"/>
    <xf numFmtId="0" fontId="5" fillId="3" borderId="28" xfId="0" applyFont="1" applyFill="1" applyBorder="1" applyAlignment="1" applyProtection="1">
      <alignment wrapText="1"/>
      <protection hidden="1"/>
    </xf>
    <xf numFmtId="2" fontId="21" fillId="0" borderId="4" xfId="0" applyNumberFormat="1" applyFont="1" applyBorder="1"/>
    <xf numFmtId="0" fontId="21" fillId="0" borderId="4" xfId="0" applyFont="1" applyBorder="1" applyAlignment="1">
      <alignment horizontal="center"/>
    </xf>
    <xf numFmtId="2" fontId="1" fillId="0" borderId="4" xfId="0" applyNumberFormat="1" applyFont="1" applyBorder="1"/>
    <xf numFmtId="2" fontId="1" fillId="0" borderId="0" xfId="0" applyNumberFormat="1" applyFont="1"/>
    <xf numFmtId="0" fontId="3" fillId="20" borderId="0" xfId="0" applyFont="1" applyFill="1" applyProtection="1">
      <protection hidden="1"/>
    </xf>
    <xf numFmtId="0" fontId="4" fillId="20" borderId="0" xfId="0" applyFont="1" applyFill="1" applyProtection="1">
      <protection hidden="1"/>
    </xf>
    <xf numFmtId="0" fontId="3" fillId="20" borderId="10" xfId="0" applyFont="1" applyFill="1" applyBorder="1" applyProtection="1">
      <protection hidden="1"/>
    </xf>
    <xf numFmtId="0" fontId="3" fillId="20" borderId="0" xfId="0" applyFont="1" applyFill="1" applyAlignment="1" applyProtection="1">
      <alignment wrapText="1"/>
      <protection hidden="1"/>
    </xf>
    <xf numFmtId="4" fontId="3" fillId="20" borderId="0" xfId="0" applyNumberFormat="1" applyFont="1" applyFill="1" applyProtection="1">
      <protection hidden="1"/>
    </xf>
    <xf numFmtId="3" fontId="4" fillId="20" borderId="0" xfId="0" applyNumberFormat="1" applyFont="1" applyFill="1" applyProtection="1">
      <protection hidden="1"/>
    </xf>
    <xf numFmtId="2" fontId="3" fillId="0" borderId="1" xfId="0" applyNumberFormat="1" applyFont="1" applyBorder="1" applyAlignment="1" applyProtection="1">
      <alignment horizontal="right"/>
      <protection hidden="1"/>
    </xf>
    <xf numFmtId="2" fontId="3" fillId="0" borderId="14" xfId="0" applyNumberFormat="1" applyFont="1" applyBorder="1" applyAlignment="1" applyProtection="1">
      <alignment horizontal="right"/>
      <protection hidden="1"/>
    </xf>
    <xf numFmtId="0" fontId="3" fillId="20" borderId="5" xfId="1" applyFont="1" applyFill="1" applyBorder="1"/>
    <xf numFmtId="0" fontId="3" fillId="20" borderId="6" xfId="1" applyFont="1" applyFill="1" applyBorder="1"/>
    <xf numFmtId="0" fontId="3" fillId="21" borderId="0" xfId="0" applyFont="1" applyFill="1" applyProtection="1">
      <protection hidden="1"/>
    </xf>
    <xf numFmtId="0" fontId="4" fillId="21" borderId="0" xfId="0" applyFont="1" applyFill="1" applyProtection="1">
      <protection hidden="1"/>
    </xf>
    <xf numFmtId="0" fontId="3" fillId="21" borderId="10" xfId="0" applyFont="1" applyFill="1" applyBorder="1" applyProtection="1">
      <protection hidden="1"/>
    </xf>
    <xf numFmtId="4" fontId="3" fillId="21" borderId="0" xfId="0" applyNumberFormat="1" applyFont="1" applyFill="1" applyProtection="1">
      <protection hidden="1"/>
    </xf>
    <xf numFmtId="3" fontId="4" fillId="21" borderId="0" xfId="0" applyNumberFormat="1" applyFont="1" applyFill="1" applyProtection="1">
      <protection hidden="1"/>
    </xf>
    <xf numFmtId="0" fontId="3" fillId="21" borderId="0" xfId="0" applyFont="1" applyFill="1" applyAlignment="1" applyProtection="1">
      <alignment wrapText="1"/>
      <protection hidden="1"/>
    </xf>
    <xf numFmtId="0" fontId="17" fillId="0" borderId="4" xfId="1" applyFont="1" applyBorder="1"/>
    <xf numFmtId="14" fontId="17" fillId="0" borderId="4" xfId="1" applyNumberFormat="1" applyFont="1" applyBorder="1"/>
    <xf numFmtId="14" fontId="17" fillId="0" borderId="4" xfId="1" applyNumberFormat="1" applyFont="1" applyBorder="1" applyAlignment="1">
      <alignment horizontal="left"/>
    </xf>
    <xf numFmtId="0" fontId="17" fillId="0" borderId="4" xfId="1" applyFont="1" applyBorder="1" applyAlignment="1">
      <alignment horizontal="center"/>
    </xf>
    <xf numFmtId="2" fontId="17" fillId="0" borderId="4" xfId="1" applyNumberFormat="1" applyFont="1" applyBorder="1"/>
    <xf numFmtId="1" fontId="17" fillId="0" borderId="4" xfId="1" applyNumberFormat="1" applyFont="1" applyBorder="1"/>
    <xf numFmtId="2" fontId="18" fillId="0" borderId="4" xfId="1" applyNumberFormat="1" applyFont="1" applyBorder="1"/>
    <xf numFmtId="0" fontId="18" fillId="0" borderId="4" xfId="1" applyFont="1" applyBorder="1"/>
    <xf numFmtId="0" fontId="17" fillId="0" borderId="0" xfId="1" applyFont="1"/>
    <xf numFmtId="0" fontId="18" fillId="0" borderId="4" xfId="1" applyFont="1" applyBorder="1" applyAlignment="1">
      <alignment horizontal="center"/>
    </xf>
    <xf numFmtId="0" fontId="17" fillId="0" borderId="0" xfId="1" applyFont="1" applyAlignment="1">
      <alignment horizontal="left"/>
    </xf>
    <xf numFmtId="14" fontId="17" fillId="0" borderId="4" xfId="1" applyNumberFormat="1" applyFont="1" applyBorder="1" applyAlignment="1">
      <alignment horizontal="right"/>
    </xf>
    <xf numFmtId="0" fontId="20" fillId="0" borderId="0" xfId="3" applyBorder="1"/>
    <xf numFmtId="14" fontId="17" fillId="0" borderId="4" xfId="1" applyNumberFormat="1" applyFont="1" applyBorder="1" applyAlignment="1">
      <alignment horizontal="center"/>
    </xf>
    <xf numFmtId="0" fontId="17" fillId="0" borderId="4" xfId="1" applyFont="1" applyBorder="1" applyAlignment="1">
      <alignment horizontal="left"/>
    </xf>
    <xf numFmtId="0" fontId="20" fillId="0" borderId="4" xfId="3" applyFill="1" applyBorder="1"/>
    <xf numFmtId="2" fontId="17" fillId="0" borderId="4" xfId="1" applyNumberFormat="1" applyFont="1" applyBorder="1" applyAlignment="1">
      <alignment horizontal="center"/>
    </xf>
    <xf numFmtId="0" fontId="20" fillId="0" borderId="4" xfId="3" applyBorder="1"/>
    <xf numFmtId="0" fontId="1" fillId="0" borderId="4" xfId="1" applyBorder="1"/>
    <xf numFmtId="2" fontId="18" fillId="0" borderId="0" xfId="1" applyNumberFormat="1" applyFont="1"/>
    <xf numFmtId="0" fontId="17" fillId="15" borderId="5" xfId="1" applyFont="1" applyFill="1" applyBorder="1"/>
    <xf numFmtId="0" fontId="13" fillId="15" borderId="6" xfId="1" applyFont="1" applyFill="1" applyBorder="1"/>
    <xf numFmtId="0" fontId="3" fillId="21" borderId="5" xfId="1" applyFont="1" applyFill="1" applyBorder="1"/>
    <xf numFmtId="0" fontId="3" fillId="19" borderId="0" xfId="0" applyFont="1" applyFill="1" applyProtection="1">
      <protection hidden="1"/>
    </xf>
    <xf numFmtId="4" fontId="3" fillId="19" borderId="0" xfId="0" applyNumberFormat="1" applyFont="1" applyFill="1" applyProtection="1">
      <protection hidden="1"/>
    </xf>
    <xf numFmtId="3" fontId="4" fillId="19" borderId="0" xfId="0" applyNumberFormat="1" applyFont="1" applyFill="1" applyProtection="1">
      <protection hidden="1"/>
    </xf>
    <xf numFmtId="0" fontId="3" fillId="19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3" fillId="19" borderId="10" xfId="0" applyFont="1" applyFill="1" applyBorder="1" applyProtection="1">
      <protection hidden="1"/>
    </xf>
    <xf numFmtId="0" fontId="3" fillId="19" borderId="5" xfId="1" applyFont="1" applyFill="1" applyBorder="1"/>
    <xf numFmtId="14" fontId="17" fillId="30" borderId="4" xfId="0" applyNumberFormat="1" applyFont="1" applyFill="1" applyBorder="1"/>
    <xf numFmtId="2" fontId="17" fillId="0" borderId="4" xfId="0" applyNumberFormat="1" applyFont="1" applyBorder="1"/>
    <xf numFmtId="0" fontId="17" fillId="0" borderId="0" xfId="0" applyFont="1"/>
    <xf numFmtId="0" fontId="18" fillId="0" borderId="4" xfId="0" applyFont="1" applyBorder="1" applyAlignment="1">
      <alignment horizontal="center"/>
    </xf>
    <xf numFmtId="0" fontId="20" fillId="0" borderId="4" xfId="2" applyBorder="1"/>
    <xf numFmtId="14" fontId="17" fillId="0" borderId="4" xfId="0" applyNumberFormat="1" applyFont="1" applyBorder="1" applyAlignment="1">
      <alignment horizontal="center"/>
    </xf>
    <xf numFmtId="0" fontId="20" fillId="0" borderId="4" xfId="2" applyFill="1" applyBorder="1"/>
    <xf numFmtId="2" fontId="17" fillId="0" borderId="4" xfId="0" applyNumberFormat="1" applyFont="1" applyBorder="1" applyAlignment="1">
      <alignment horizontal="center"/>
    </xf>
    <xf numFmtId="0" fontId="3" fillId="31" borderId="5" xfId="1" applyFont="1" applyFill="1" applyBorder="1"/>
    <xf numFmtId="0" fontId="3" fillId="31" borderId="6" xfId="1" applyFont="1" applyFill="1" applyBorder="1"/>
    <xf numFmtId="0" fontId="20" fillId="0" borderId="0" xfId="2" applyBorder="1"/>
    <xf numFmtId="0" fontId="20" fillId="0" borderId="0" xfId="2" applyFill="1" applyBorder="1"/>
    <xf numFmtId="0" fontId="4" fillId="3" borderId="24" xfId="0" applyFont="1" applyFill="1" applyBorder="1" applyAlignment="1" applyProtection="1">
      <alignment horizontal="center" wrapText="1"/>
      <protection hidden="1"/>
    </xf>
    <xf numFmtId="3" fontId="4" fillId="0" borderId="6" xfId="0" applyNumberFormat="1" applyFont="1" applyBorder="1" applyProtection="1">
      <protection hidden="1"/>
    </xf>
    <xf numFmtId="3" fontId="4" fillId="0" borderId="23" xfId="0" applyNumberFormat="1" applyFont="1" applyBorder="1" applyProtection="1">
      <protection hidden="1"/>
    </xf>
    <xf numFmtId="0" fontId="3" fillId="25" borderId="0" xfId="0" applyFont="1" applyFill="1" applyProtection="1">
      <protection hidden="1"/>
    </xf>
    <xf numFmtId="0" fontId="4" fillId="25" borderId="0" xfId="0" applyFont="1" applyFill="1" applyProtection="1">
      <protection hidden="1"/>
    </xf>
    <xf numFmtId="0" fontId="3" fillId="25" borderId="10" xfId="0" applyFont="1" applyFill="1" applyBorder="1" applyProtection="1">
      <protection hidden="1"/>
    </xf>
    <xf numFmtId="4" fontId="3" fillId="25" borderId="0" xfId="0" applyNumberFormat="1" applyFont="1" applyFill="1" applyProtection="1">
      <protection hidden="1"/>
    </xf>
    <xf numFmtId="3" fontId="4" fillId="25" borderId="0" xfId="0" applyNumberFormat="1" applyFont="1" applyFill="1" applyProtection="1">
      <protection hidden="1"/>
    </xf>
    <xf numFmtId="0" fontId="3" fillId="25" borderId="5" xfId="1" applyFont="1" applyFill="1" applyBorder="1"/>
    <xf numFmtId="0" fontId="3" fillId="25" borderId="6" xfId="1" applyFont="1" applyFill="1" applyBorder="1"/>
    <xf numFmtId="14" fontId="17" fillId="27" borderId="4" xfId="0" applyNumberFormat="1" applyFont="1" applyFill="1" applyBorder="1"/>
    <xf numFmtId="0" fontId="17" fillId="15" borderId="7" xfId="1" applyFont="1" applyFill="1" applyBorder="1"/>
    <xf numFmtId="0" fontId="13" fillId="15" borderId="9" xfId="1" applyFont="1" applyFill="1" applyBorder="1"/>
    <xf numFmtId="0" fontId="13" fillId="13" borderId="22" xfId="1" applyFont="1" applyFill="1" applyBorder="1"/>
  </cellXfs>
  <cellStyles count="4">
    <cellStyle name="Hyperlink" xfId="2" builtinId="8"/>
    <cellStyle name="Hyperlink 2" xfId="3" xr:uid="{49EFB8D4-3ABC-FF42-A4F5-2FDAA60D24B3}"/>
    <cellStyle name="Normal" xfId="0" builtinId="0"/>
    <cellStyle name="Normal 2" xfId="1" xr:uid="{36B280DC-B2CF-0B4F-B39A-4C16DED24BD1}"/>
  </cellStyles>
  <dxfs count="23">
    <dxf>
      <fill>
        <patternFill>
          <bgColor rgb="FFFFFECC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Medium7"/>
  <colors>
    <mruColors>
      <color rgb="FFCD7B93"/>
      <color rgb="FFFFDCDA"/>
      <color rgb="FFFFFECC"/>
      <color rgb="FFFFA9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7</xdr:col>
      <xdr:colOff>87661</xdr:colOff>
      <xdr:row>77</xdr:row>
      <xdr:rowOff>103529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D1DCA-ECEE-784D-BDFD-B80653E2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000"/>
          <a:ext cx="7783861" cy="8228741"/>
        </a:xfrm>
        <a:prstGeom prst="rect">
          <a:avLst/>
        </a:prstGeom>
      </xdr:spPr>
    </xdr:pic>
    <xdr:clientData/>
  </xdr:twoCellAnchor>
  <xdr:twoCellAnchor editAs="oneCell">
    <xdr:from>
      <xdr:col>6</xdr:col>
      <xdr:colOff>354979</xdr:colOff>
      <xdr:row>2</xdr:row>
      <xdr:rowOff>88900</xdr:rowOff>
    </xdr:from>
    <xdr:to>
      <xdr:col>9</xdr:col>
      <xdr:colOff>514087</xdr:colOff>
      <xdr:row>8</xdr:row>
      <xdr:rowOff>152400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6D2528E2-454B-FC46-B291-81AC16561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25679" y="457200"/>
          <a:ext cx="2635608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hyperlink" Target="https://www.energymadeeasy.gov.au/offer/1072864?postcode=5000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hyperlink" Target="https://www.energymadeeasy.gov.au/offer/1072864?postcode=5000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hyperlink" Target="https://www.energymadeeasy.gov.au/offer/1072864?postcode=5000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1072864?postcode=5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55582-094F-4D4D-A4B8-77BEA9B31E91}">
  <sheetPr codeName="Sheet1"/>
  <dimension ref="A1:S79"/>
  <sheetViews>
    <sheetView zoomScaleNormal="100" workbookViewId="0">
      <selection activeCell="F18" sqref="F18"/>
    </sheetView>
  </sheetViews>
  <sheetFormatPr baseColWidth="10" defaultRowHeight="13" x14ac:dyDescent="0.15"/>
  <cols>
    <col min="1" max="1" width="16.33203125" style="121" customWidth="1"/>
    <col min="2" max="2" width="14.33203125" style="121" customWidth="1"/>
    <col min="3" max="3" width="10.83203125" style="121"/>
    <col min="4" max="4" width="16.33203125" style="121" customWidth="1"/>
    <col min="5" max="5" width="10.83203125" style="121"/>
    <col min="6" max="6" width="21.5" style="121" customWidth="1"/>
    <col min="7" max="17" width="10.83203125" style="121"/>
    <col min="18" max="18" width="19.5" style="121" customWidth="1"/>
    <col min="19" max="19" width="18.83203125" style="121" customWidth="1"/>
    <col min="20" max="16384" width="10.83203125" style="121"/>
  </cols>
  <sheetData>
    <row r="1" spans="1:19" ht="14" x14ac:dyDescent="0.15">
      <c r="A1" s="119" t="s">
        <v>548</v>
      </c>
      <c r="B1" s="120"/>
      <c r="C1" s="120"/>
      <c r="D1" s="120"/>
      <c r="E1" s="120"/>
      <c r="F1" s="120"/>
      <c r="G1" s="120"/>
      <c r="H1" s="120"/>
      <c r="I1" s="120"/>
    </row>
    <row r="2" spans="1:19" ht="15" thickBot="1" x14ac:dyDescent="0.2">
      <c r="A2" s="122" t="s">
        <v>549</v>
      </c>
      <c r="B2" s="122"/>
      <c r="C2" s="122"/>
      <c r="D2" s="120"/>
      <c r="E2" s="120"/>
      <c r="F2" s="120"/>
      <c r="G2" s="120"/>
      <c r="H2" s="120"/>
      <c r="I2" s="120"/>
    </row>
    <row r="3" spans="1:19" ht="14" x14ac:dyDescent="0.15">
      <c r="A3" s="122" t="s">
        <v>550</v>
      </c>
      <c r="B3" s="122"/>
      <c r="C3" s="122"/>
      <c r="D3" s="120"/>
      <c r="E3" s="120"/>
      <c r="F3" s="120"/>
      <c r="G3" s="120"/>
      <c r="H3" s="120"/>
      <c r="I3" s="120"/>
      <c r="K3" s="123" t="s">
        <v>551</v>
      </c>
      <c r="L3" s="124"/>
      <c r="M3" s="124"/>
      <c r="N3" s="124"/>
      <c r="O3" s="125"/>
      <c r="P3" s="125"/>
      <c r="Q3" s="125"/>
      <c r="R3" s="126"/>
      <c r="S3" s="127"/>
    </row>
    <row r="4" spans="1:19" ht="14" x14ac:dyDescent="0.15">
      <c r="A4" s="120"/>
      <c r="B4" s="120"/>
      <c r="C4" s="120"/>
      <c r="D4" s="120"/>
      <c r="E4" s="120"/>
      <c r="F4" s="120"/>
      <c r="G4" s="120"/>
      <c r="H4" s="120"/>
      <c r="I4" s="120"/>
      <c r="K4" s="128" t="s">
        <v>552</v>
      </c>
      <c r="L4" s="120"/>
      <c r="M4" s="120"/>
      <c r="N4" s="120"/>
      <c r="O4" s="120"/>
      <c r="P4" s="120"/>
      <c r="Q4" s="120"/>
      <c r="S4" s="129"/>
    </row>
    <row r="5" spans="1:19" ht="14" x14ac:dyDescent="0.15">
      <c r="A5" s="130" t="s">
        <v>719</v>
      </c>
      <c r="B5" s="120"/>
      <c r="C5" s="120"/>
      <c r="D5" s="120"/>
      <c r="E5" s="120"/>
      <c r="F5" s="131"/>
      <c r="G5" s="131"/>
      <c r="H5" s="131"/>
      <c r="I5" s="131"/>
      <c r="J5" s="132"/>
      <c r="K5" s="128" t="s">
        <v>553</v>
      </c>
      <c r="L5" s="120"/>
      <c r="M5" s="120"/>
      <c r="N5" s="120"/>
      <c r="O5" s="120"/>
      <c r="P5" s="120"/>
      <c r="Q5" s="120"/>
      <c r="S5" s="129"/>
    </row>
    <row r="6" spans="1:19" ht="14" x14ac:dyDescent="0.15">
      <c r="A6" s="120" t="s">
        <v>554</v>
      </c>
      <c r="B6" s="120"/>
      <c r="C6" s="120"/>
      <c r="D6" s="120"/>
      <c r="E6" s="120"/>
      <c r="F6" s="131"/>
      <c r="G6" s="131"/>
      <c r="H6" s="131"/>
      <c r="I6" s="131"/>
      <c r="J6" s="132"/>
      <c r="K6" s="128" t="s">
        <v>555</v>
      </c>
      <c r="L6" s="120"/>
      <c r="M6" s="120"/>
      <c r="N6" s="120"/>
      <c r="O6" s="120"/>
      <c r="P6" s="120"/>
      <c r="Q6" s="120"/>
      <c r="S6" s="129"/>
    </row>
    <row r="7" spans="1:19" ht="14" x14ac:dyDescent="0.15">
      <c r="A7" s="120" t="s">
        <v>556</v>
      </c>
      <c r="B7" s="120"/>
      <c r="C7" s="120"/>
      <c r="D7" s="120"/>
      <c r="E7" s="120"/>
      <c r="F7" s="131"/>
      <c r="G7" s="131"/>
      <c r="H7" s="131"/>
      <c r="I7" s="131"/>
      <c r="J7" s="132"/>
      <c r="K7" s="128" t="s">
        <v>557</v>
      </c>
      <c r="L7" s="120"/>
      <c r="M7" s="120"/>
      <c r="N7" s="120"/>
      <c r="O7" s="131"/>
      <c r="P7" s="131"/>
      <c r="Q7" s="131"/>
      <c r="S7" s="129"/>
    </row>
    <row r="8" spans="1:19" ht="14" x14ac:dyDescent="0.15">
      <c r="A8" s="120"/>
      <c r="B8" s="120"/>
      <c r="C8" s="120"/>
      <c r="D8" s="120"/>
      <c r="E8" s="120"/>
      <c r="F8" s="131"/>
      <c r="G8" s="131"/>
      <c r="H8" s="133"/>
      <c r="I8" s="133"/>
      <c r="J8" s="132"/>
      <c r="K8" s="128" t="s">
        <v>558</v>
      </c>
      <c r="L8" s="120"/>
      <c r="M8" s="120"/>
      <c r="N8" s="120"/>
      <c r="O8" s="131"/>
      <c r="P8" s="131"/>
      <c r="Q8" s="131"/>
      <c r="S8" s="129"/>
    </row>
    <row r="9" spans="1:19" ht="14" x14ac:dyDescent="0.15">
      <c r="A9" s="130" t="s">
        <v>560</v>
      </c>
      <c r="B9" s="120"/>
      <c r="C9" s="120"/>
      <c r="D9" s="120"/>
      <c r="E9" s="120"/>
      <c r="F9" s="131"/>
      <c r="G9" s="131"/>
      <c r="H9" s="131"/>
      <c r="I9" s="131"/>
      <c r="J9" s="132"/>
      <c r="K9" s="128" t="s">
        <v>559</v>
      </c>
      <c r="L9" s="120"/>
      <c r="M9" s="120"/>
      <c r="N9" s="120"/>
      <c r="O9" s="131"/>
      <c r="P9" s="131"/>
      <c r="Q9" s="131"/>
      <c r="S9" s="129"/>
    </row>
    <row r="10" spans="1:19" ht="14" x14ac:dyDescent="0.15">
      <c r="A10" s="120" t="s">
        <v>562</v>
      </c>
      <c r="B10" s="120"/>
      <c r="C10" s="120"/>
      <c r="D10" s="120"/>
      <c r="E10" s="120"/>
      <c r="F10" s="131"/>
      <c r="G10" s="131"/>
      <c r="H10" s="120"/>
      <c r="I10" s="120"/>
      <c r="J10" s="132"/>
      <c r="K10" s="128" t="s">
        <v>561</v>
      </c>
      <c r="L10" s="120"/>
      <c r="M10" s="120"/>
      <c r="N10" s="120"/>
      <c r="O10" s="135"/>
      <c r="P10" s="135"/>
      <c r="Q10" s="135"/>
      <c r="S10" s="129"/>
    </row>
    <row r="11" spans="1:19" ht="15" thickBot="1" x14ac:dyDescent="0.2">
      <c r="A11" s="120" t="s">
        <v>932</v>
      </c>
      <c r="B11" s="120"/>
      <c r="C11" s="120"/>
      <c r="D11" s="120"/>
      <c r="E11" s="120"/>
      <c r="F11" s="131"/>
      <c r="G11" s="131"/>
      <c r="H11" s="120"/>
      <c r="I11" s="120"/>
      <c r="J11" s="132"/>
      <c r="K11" s="136" t="s">
        <v>563</v>
      </c>
      <c r="L11" s="137"/>
      <c r="M11" s="137"/>
      <c r="N11" s="137"/>
      <c r="O11" s="138"/>
      <c r="P11" s="138"/>
      <c r="Q11" s="138"/>
      <c r="R11" s="139"/>
      <c r="S11" s="140"/>
    </row>
    <row r="12" spans="1:19" ht="14" x14ac:dyDescent="0.15">
      <c r="A12" s="120" t="s">
        <v>564</v>
      </c>
      <c r="E12" s="120"/>
      <c r="F12" s="131"/>
      <c r="G12" s="131"/>
      <c r="H12" s="120"/>
      <c r="I12" s="120"/>
      <c r="J12" s="132"/>
    </row>
    <row r="13" spans="1:19" ht="15" thickBot="1" x14ac:dyDescent="0.2">
      <c r="A13" s="120"/>
      <c r="B13" s="120"/>
      <c r="C13" s="120"/>
      <c r="D13" s="120"/>
      <c r="E13" s="120"/>
      <c r="F13" s="131"/>
      <c r="G13" s="131"/>
      <c r="H13" s="120"/>
      <c r="I13" s="120"/>
      <c r="J13" s="132"/>
    </row>
    <row r="14" spans="1:19" ht="15" thickBot="1" x14ac:dyDescent="0.2">
      <c r="A14" s="120" t="s">
        <v>567</v>
      </c>
      <c r="B14" s="120"/>
      <c r="C14" s="120"/>
      <c r="D14" s="120"/>
      <c r="E14" s="120"/>
      <c r="F14" s="131"/>
      <c r="G14" s="131"/>
      <c r="H14" s="131"/>
      <c r="I14" s="131"/>
      <c r="J14" s="132"/>
      <c r="K14" s="141" t="s">
        <v>565</v>
      </c>
      <c r="L14" s="142"/>
      <c r="N14" s="143" t="s">
        <v>566</v>
      </c>
      <c r="O14" s="144"/>
    </row>
    <row r="15" spans="1:19" ht="14" x14ac:dyDescent="0.15">
      <c r="A15" s="120" t="s">
        <v>569</v>
      </c>
      <c r="B15" s="120"/>
      <c r="C15" s="120"/>
      <c r="D15" s="120"/>
      <c r="E15" s="148"/>
      <c r="F15" s="131"/>
      <c r="G15" s="131"/>
      <c r="H15" s="131"/>
      <c r="I15" s="145"/>
      <c r="K15" s="391" t="s">
        <v>296</v>
      </c>
      <c r="L15" s="392"/>
      <c r="N15" s="388" t="s">
        <v>568</v>
      </c>
      <c r="O15" s="389">
        <v>2023</v>
      </c>
    </row>
    <row r="16" spans="1:19" ht="14" x14ac:dyDescent="0.15">
      <c r="A16" s="131"/>
      <c r="B16" s="120"/>
      <c r="C16" s="120"/>
      <c r="D16" s="120"/>
      <c r="E16" s="120"/>
      <c r="F16" s="131"/>
      <c r="G16" s="131"/>
      <c r="H16" s="131"/>
      <c r="K16" s="358" t="s">
        <v>297</v>
      </c>
      <c r="L16" s="359"/>
      <c r="N16" s="298" t="s">
        <v>570</v>
      </c>
      <c r="O16" s="299">
        <v>2023</v>
      </c>
    </row>
    <row r="17" spans="1:15" ht="14" x14ac:dyDescent="0.15">
      <c r="A17" s="120" t="s">
        <v>571</v>
      </c>
      <c r="B17" s="120"/>
      <c r="C17" s="120"/>
      <c r="D17" s="120"/>
      <c r="E17" s="120"/>
      <c r="F17" s="131"/>
      <c r="G17" s="131"/>
      <c r="H17" s="131"/>
      <c r="K17" s="358" t="s">
        <v>300</v>
      </c>
      <c r="L17" s="359"/>
      <c r="N17" s="367" t="s">
        <v>568</v>
      </c>
      <c r="O17" s="154">
        <v>2022</v>
      </c>
    </row>
    <row r="18" spans="1:15" ht="14" x14ac:dyDescent="0.15">
      <c r="A18" s="120" t="s">
        <v>572</v>
      </c>
      <c r="B18" s="131"/>
      <c r="C18" s="131"/>
      <c r="D18" s="131"/>
      <c r="E18" s="131"/>
      <c r="F18" s="131"/>
      <c r="G18" s="131"/>
      <c r="H18" s="131"/>
      <c r="K18" s="358" t="s">
        <v>301</v>
      </c>
      <c r="L18" s="359"/>
      <c r="N18" s="360" t="s">
        <v>570</v>
      </c>
      <c r="O18" s="158">
        <v>2022</v>
      </c>
    </row>
    <row r="19" spans="1:15" ht="14" x14ac:dyDescent="0.15">
      <c r="A19" s="120" t="s">
        <v>573</v>
      </c>
      <c r="B19" s="120"/>
      <c r="C19" s="120"/>
      <c r="D19" s="120"/>
      <c r="E19" s="120"/>
      <c r="F19" s="131"/>
      <c r="G19" s="131"/>
      <c r="H19" s="131"/>
      <c r="K19" s="358" t="s">
        <v>302</v>
      </c>
      <c r="L19" s="359"/>
      <c r="N19" s="330" t="s">
        <v>568</v>
      </c>
      <c r="O19" s="331">
        <v>2021</v>
      </c>
    </row>
    <row r="20" spans="1:15" ht="14" x14ac:dyDescent="0.15">
      <c r="A20" s="120" t="s">
        <v>574</v>
      </c>
      <c r="B20" s="120"/>
      <c r="C20" s="120"/>
      <c r="D20" s="120"/>
      <c r="E20" s="120"/>
      <c r="F20" s="131"/>
      <c r="G20" s="131"/>
      <c r="H20" s="131"/>
      <c r="K20" s="358" t="s">
        <v>304</v>
      </c>
      <c r="L20" s="359"/>
      <c r="N20" s="315" t="s">
        <v>570</v>
      </c>
      <c r="O20" s="316">
        <v>2021</v>
      </c>
    </row>
    <row r="21" spans="1:15" ht="14" x14ac:dyDescent="0.15">
      <c r="A21" s="120" t="s">
        <v>575</v>
      </c>
      <c r="B21" s="120"/>
      <c r="C21" s="120"/>
      <c r="D21" s="120"/>
      <c r="E21" s="120"/>
      <c r="F21" s="131"/>
      <c r="G21" s="131"/>
      <c r="H21" s="131"/>
      <c r="K21" s="358" t="s">
        <v>306</v>
      </c>
      <c r="L21" s="359"/>
      <c r="N21" s="376" t="s">
        <v>568</v>
      </c>
      <c r="O21" s="377">
        <v>2020</v>
      </c>
    </row>
    <row r="22" spans="1:15" ht="14" x14ac:dyDescent="0.15">
      <c r="A22" s="120"/>
      <c r="B22" s="131"/>
      <c r="C22" s="131"/>
      <c r="D22" s="131"/>
      <c r="E22" s="131"/>
      <c r="F22" s="131"/>
      <c r="G22" s="131"/>
      <c r="H22" s="131"/>
      <c r="K22" s="358" t="s">
        <v>307</v>
      </c>
      <c r="L22" s="359"/>
      <c r="N22" s="296" t="s">
        <v>570</v>
      </c>
      <c r="O22" s="297">
        <v>2020</v>
      </c>
    </row>
    <row r="23" spans="1:15" ht="14" x14ac:dyDescent="0.15">
      <c r="A23" s="120" t="s">
        <v>576</v>
      </c>
      <c r="B23" s="132"/>
      <c r="C23" s="132"/>
      <c r="D23" s="132"/>
      <c r="E23" s="132"/>
      <c r="F23" s="132"/>
      <c r="G23" s="131"/>
      <c r="H23" s="131"/>
      <c r="K23" s="358" t="s">
        <v>495</v>
      </c>
      <c r="L23" s="359"/>
      <c r="N23" s="146" t="s">
        <v>568</v>
      </c>
      <c r="O23" s="147">
        <v>2019</v>
      </c>
    </row>
    <row r="24" spans="1:15" ht="14" x14ac:dyDescent="0.15">
      <c r="A24" s="120" t="s">
        <v>577</v>
      </c>
      <c r="B24" s="132"/>
      <c r="C24" s="132"/>
      <c r="D24" s="132"/>
      <c r="E24" s="132"/>
      <c r="F24" s="132"/>
      <c r="G24" s="132"/>
      <c r="H24" s="132"/>
      <c r="K24" s="358" t="s">
        <v>594</v>
      </c>
      <c r="L24" s="359"/>
      <c r="N24" s="149" t="s">
        <v>570</v>
      </c>
      <c r="O24" s="150">
        <v>2019</v>
      </c>
    </row>
    <row r="25" spans="1:15" ht="14" x14ac:dyDescent="0.15">
      <c r="B25" s="132"/>
      <c r="C25" s="132"/>
      <c r="D25" s="132"/>
      <c r="E25" s="132"/>
      <c r="F25" s="132"/>
      <c r="G25" s="132"/>
      <c r="H25" s="132"/>
      <c r="K25" s="358" t="s">
        <v>691</v>
      </c>
      <c r="L25" s="359"/>
      <c r="N25" s="151" t="s">
        <v>568</v>
      </c>
      <c r="O25" s="152">
        <v>2018</v>
      </c>
    </row>
    <row r="26" spans="1:15" ht="14" x14ac:dyDescent="0.15">
      <c r="E26" s="132"/>
      <c r="F26" s="132"/>
      <c r="G26" s="132"/>
      <c r="H26" s="132"/>
      <c r="K26" s="358" t="s">
        <v>931</v>
      </c>
      <c r="L26" s="359"/>
      <c r="N26" s="153" t="s">
        <v>570</v>
      </c>
      <c r="O26" s="154">
        <v>2018</v>
      </c>
    </row>
    <row r="27" spans="1:15" ht="14" x14ac:dyDescent="0.15">
      <c r="E27" s="132"/>
      <c r="F27" s="132"/>
      <c r="G27" s="132"/>
      <c r="H27" s="132"/>
      <c r="K27" s="358" t="s">
        <v>733</v>
      </c>
      <c r="L27" s="359"/>
      <c r="N27" s="155" t="s">
        <v>568</v>
      </c>
      <c r="O27" s="156">
        <v>2017</v>
      </c>
    </row>
    <row r="28" spans="1:15" ht="14" x14ac:dyDescent="0.15">
      <c r="E28" s="132"/>
      <c r="F28" s="132"/>
      <c r="G28" s="132"/>
      <c r="H28" s="132"/>
      <c r="K28" s="358" t="s">
        <v>802</v>
      </c>
      <c r="L28" s="359"/>
      <c r="N28" s="157" t="s">
        <v>570</v>
      </c>
      <c r="O28" s="158">
        <v>2017</v>
      </c>
    </row>
    <row r="29" spans="1:15" ht="15" thickBot="1" x14ac:dyDescent="0.2">
      <c r="E29" s="132"/>
      <c r="F29" s="132"/>
      <c r="G29" s="132"/>
      <c r="H29" s="132"/>
      <c r="K29" s="358" t="s">
        <v>303</v>
      </c>
      <c r="L29" s="359"/>
      <c r="N29" s="159" t="s">
        <v>570</v>
      </c>
      <c r="O29" s="160">
        <v>2016</v>
      </c>
    </row>
    <row r="30" spans="1:15" x14ac:dyDescent="0.15">
      <c r="E30" s="132"/>
      <c r="F30" s="132"/>
      <c r="G30" s="132"/>
      <c r="H30" s="132"/>
      <c r="K30" s="358" t="s">
        <v>682</v>
      </c>
      <c r="L30" s="359"/>
    </row>
    <row r="31" spans="1:15" x14ac:dyDescent="0.15">
      <c r="E31" s="132"/>
      <c r="F31" s="132"/>
      <c r="G31" s="132"/>
      <c r="H31" s="132"/>
      <c r="I31" s="145"/>
      <c r="K31" s="358" t="s">
        <v>977</v>
      </c>
      <c r="L31" s="359"/>
    </row>
    <row r="32" spans="1:15" ht="14" thickBot="1" x14ac:dyDescent="0.2">
      <c r="E32" s="132"/>
      <c r="F32" s="132"/>
      <c r="G32" s="132"/>
      <c r="H32" s="132"/>
      <c r="I32" s="132"/>
      <c r="K32" s="393" t="s">
        <v>597</v>
      </c>
      <c r="L32" s="140"/>
    </row>
    <row r="33" spans="5:12" x14ac:dyDescent="0.15">
      <c r="E33" s="132"/>
      <c r="F33" s="132"/>
      <c r="G33" s="132"/>
      <c r="H33" s="132"/>
      <c r="I33" s="132"/>
      <c r="J33" s="132"/>
      <c r="K33" s="132"/>
      <c r="L33" s="132"/>
    </row>
    <row r="34" spans="5:12" x14ac:dyDescent="0.15">
      <c r="G34" s="132"/>
      <c r="H34" s="132"/>
      <c r="I34" s="132"/>
      <c r="J34" s="132"/>
      <c r="K34" s="132"/>
      <c r="L34" s="132"/>
    </row>
    <row r="79" spans="1:1" x14ac:dyDescent="0.15">
      <c r="A79" s="121" t="s">
        <v>578</v>
      </c>
    </row>
  </sheetData>
  <sheetProtection algorithmName="SHA-512" hashValue="qrS84YGFml8bbpZ7W78DWqo9UBX/2j9M0wkAdFBdY1r88U8+8aUn4tPhnI+w+0BeLetxgiiT1+U9FrYCkoZBEw==" saltValue="HAiLn9QyBkOs9vxa8QtB6g==" spinCount="100000" sheet="1" objects="1" scenarios="1"/>
  <sortState xmlns:xlrd2="http://schemas.microsoft.com/office/spreadsheetml/2017/richdata2" ref="K16:K35">
    <sortCondition ref="K15:K35"/>
  </sortState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62C78-FE2F-8C48-8364-DABB6462B376}">
  <sheetPr codeName="Sheet3">
    <tabColor theme="4" tint="0.39997558519241921"/>
  </sheetPr>
  <dimension ref="A1:BA69"/>
  <sheetViews>
    <sheetView zoomScaleNormal="100" zoomScalePageLayoutView="125" workbookViewId="0">
      <selection activeCell="E58" sqref="E58"/>
    </sheetView>
  </sheetViews>
  <sheetFormatPr baseColWidth="10" defaultRowHeight="14" x14ac:dyDescent="0.15"/>
  <cols>
    <col min="1" max="1" width="20.33203125" style="82" customWidth="1"/>
    <col min="2" max="2" width="22.6640625" style="82" bestFit="1" customWidth="1"/>
    <col min="3" max="9" width="12.1640625" style="82" customWidth="1"/>
    <col min="10" max="11" width="12.1640625" style="82" hidden="1" customWidth="1"/>
    <col min="12" max="16" width="12.1640625" style="82" customWidth="1"/>
    <col min="17" max="20" width="12.1640625" style="82" hidden="1" customWidth="1"/>
    <col min="21" max="24" width="12.1640625" style="82" customWidth="1"/>
    <col min="25" max="53" width="7.5" style="82" customWidth="1"/>
    <col min="54" max="16384" width="10.83203125" style="82"/>
  </cols>
  <sheetData>
    <row r="1" spans="1:53" x14ac:dyDescent="0.15">
      <c r="A1" s="82" t="s">
        <v>31</v>
      </c>
    </row>
    <row r="2" spans="1:53" x14ac:dyDescent="0.15">
      <c r="A2" s="83" t="s">
        <v>236</v>
      </c>
    </row>
    <row r="3" spans="1:53" ht="15" thickBot="1" x14ac:dyDescent="0.2">
      <c r="G3" s="84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</row>
    <row r="8" spans="1:53" x14ac:dyDescent="0.15">
      <c r="A8" s="70" t="str">
        <f>'SA Oct 2019'!K2</f>
        <v>AGL</v>
      </c>
      <c r="B8" s="49" t="str">
        <f>'SA Oct 2019'!L2</f>
        <v>Business Essentials</v>
      </c>
      <c r="C8" s="46">
        <f>IF('SA Oct 2019'!BP2=0,91*'SA Oct 2019'!M2/100,(91*'SA Oct 2019'!M2/100)+'SA Oct 2019'!BP2/4)</f>
        <v>71.269545454545451</v>
      </c>
      <c r="D8" s="46">
        <f>IF('SA Oct 2019'!O2="",$C$5*'SA Oct 2019'!N2/100,IF($C$5&gt;='SA Oct 2019'!P2,('SA Oct 2019'!P2*'SA Oct 2019'!N2/100),($C$5*'SA Oct 2019'!N2/100)))</f>
        <v>1751.8181818181815</v>
      </c>
      <c r="E8" s="46">
        <f>IF(AND('SA Oct 2019'!P2&gt;0,'SA Oct 2019'!R2&gt;0),IF($C$5&lt;'SA Oct 2019'!P2,0,IF($C$5&lt;=('SA Oct 2019'!R2+'SA Oct 2019'!P2),(($C$5-'SA Oct 2019'!P2)*'SA Oct 2019'!Q2/100),(('SA Oct 2019'!R2)*'SA Oct 2019'!Q2/100))),0)</f>
        <v>0</v>
      </c>
      <c r="F8" s="46">
        <f>IF(AND('SA Oct 2019'!Q2&gt;0,'SA Oct 2019'!S2&gt;0),IF($C$5&lt;('SA Oct 2019'!R2+'SA Oct 2019'!P2),0,IF($C$5&lt;=('SA Oct 2019'!T2+'SA Oct 2019'!R2+'SA Oct 2019'!P2),(($C$5-('SA Oct 2019'!R2+'SA Oct 2019'!P2))*'SA Oct 2019'!S2/100),('SA Oct 2019'!T2*'SA Oct 2019'!S2/100))),0)</f>
        <v>0</v>
      </c>
      <c r="G8" s="50">
        <v>0</v>
      </c>
      <c r="H8" s="46">
        <f>IF(AND('SA Oct 2019'!R2&gt;0,'SA Oct 2019'!T2&gt;0),IF(($C$5&lt;'SA Oct 2019'!T2),(0),($C$5-'SA Oct 2019'!T2)*'SA Oct 2019'!U2/100),IF(AND('SA Oct 2019'!R2&gt;0,'SA Oct 2019'!T2=""),IF(($C$5&lt;'SA Oct 2019'!R2+'SA Oct 2019'!P2),(0),(($C$5-('SA Oct 2019'!R2+'SA Oct 2019'!P2))*'SA Oct 2019'!S2/100)),IF(AND('SA Oct 2019'!P2&gt;0,'SA Oct 2019'!R2=""&gt;0),IF(($C$5&lt;'SA Oct 2019'!P2),(0),($C$5-'SA Oct 2019'!P2)*'SA Oct 2019'!Q2/100),0)))</f>
        <v>0</v>
      </c>
      <c r="I8" s="52">
        <f>SUM(C8:H8)</f>
        <v>1823.0877272727271</v>
      </c>
      <c r="J8" s="109">
        <f>(I8-C8)*4</f>
        <v>7007.2727272727261</v>
      </c>
      <c r="K8" s="109">
        <f t="shared" ref="K8:K23" si="0">I8*4</f>
        <v>7292.3509090909083</v>
      </c>
      <c r="L8" s="53">
        <f>K8*1.1</f>
        <v>8021.5860000000002</v>
      </c>
      <c r="M8" s="54">
        <f>'SA Oct 2019'!BB2</f>
        <v>0</v>
      </c>
      <c r="N8" s="54">
        <f>'SA Oct 2019'!BC2</f>
        <v>0</v>
      </c>
      <c r="O8" s="54">
        <f>'SA Oct 2019'!BD2</f>
        <v>0</v>
      </c>
      <c r="P8" s="54">
        <f>'SA Oct 2019'!BE2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3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7292.3509090909083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7292.3509090909083</v>
      </c>
      <c r="U8" s="97">
        <f>S8*1.1</f>
        <v>8021.5860000000002</v>
      </c>
      <c r="V8" s="98">
        <f>T8*1.1</f>
        <v>8021.5860000000002</v>
      </c>
      <c r="W8" s="55">
        <f>'SA Oct 2019'!BL2</f>
        <v>0</v>
      </c>
      <c r="X8" s="56" t="str">
        <f>'SA Oct 2019'!BM2</f>
        <v>n</v>
      </c>
    </row>
    <row r="9" spans="1:53" x14ac:dyDescent="0.15">
      <c r="A9" s="70" t="str">
        <f>'SA Oct 2019'!K3</f>
        <v>Alinta Energy</v>
      </c>
      <c r="B9" s="49" t="str">
        <f>'SA Oct 2019'!L3</f>
        <v>Business Advantage</v>
      </c>
      <c r="C9" s="46">
        <f>IF('SA Oct 2019'!BP3=0,91*'SA Oct 2019'!M3/100,(91*'SA Oct 2019'!M3/100)+'SA Oct 2019'!BP3/4)</f>
        <v>82.355000000000004</v>
      </c>
      <c r="D9" s="46">
        <f>IF('SA Oct 2019'!O3="",$C$5*'SA Oct 2019'!N3/100,IF($C$5&gt;='SA Oct 2019'!P3,('SA Oct 2019'!P3*'SA Oct 2019'!N3/100),($C$5*'SA Oct 2019'!N3/100)))</f>
        <v>1698.6363636363635</v>
      </c>
      <c r="E9" s="46">
        <f>IF(AND('SA Oct 2019'!P3&gt;0,'SA Oct 2019'!R3&gt;0),IF($C$5&lt;'SA Oct 2019'!P3,0,IF($C$5&lt;=('SA Oct 2019'!R3+'SA Oct 2019'!P3),(($C$5-'SA Oct 2019'!P3)*'SA Oct 2019'!Q3/100),(('SA Oct 2019'!R3)*'SA Oct 2019'!Q3/100))),0)</f>
        <v>0</v>
      </c>
      <c r="F9" s="46">
        <f>IF(AND('SA Oct 2019'!Q3&gt;0,'SA Oct 2019'!S3&gt;0),IF($C$5&lt;('SA Oct 2019'!R3+'SA Oct 2019'!P3),0,IF($C$5&lt;=('SA Oct 2019'!T3+'SA Oct 2019'!R3+'SA Oct 2019'!P3),(($C$5-('SA Oct 2019'!R3+'SA Oct 2019'!P3))*'SA Oct 2019'!S3/100),('SA Oct 2019'!T3*'SA Oct 2019'!S3/100))),0)</f>
        <v>0</v>
      </c>
      <c r="G9" s="50">
        <v>0</v>
      </c>
      <c r="H9" s="46">
        <f>IF(AND('SA Oct 2019'!R3&gt;0,'SA Oct 2019'!T3&gt;0),IF(($C$5&lt;'SA Oct 2019'!T3),(0),($C$5-'SA Oct 2019'!T3)*'SA Oct 2019'!U3/100),IF(AND('SA Oct 2019'!R3&gt;0,'SA Oct 2019'!T3=""),IF(($C$5&lt;'SA Oct 2019'!R3+'SA Oct 2019'!P3),(0),(($C$5-('SA Oct 2019'!R3+'SA Oct 2019'!P3))*'SA Oct 2019'!S3/100)),IF(AND('SA Oct 2019'!P3&gt;0,'SA Oct 2019'!R3=""&gt;0),IF(($C$5&lt;'SA Oct 2019'!P3),(0),($C$5-'SA Oct 2019'!P3)*'SA Oct 2019'!Q3/100),0)))</f>
        <v>0</v>
      </c>
      <c r="I9" s="52">
        <f t="shared" ref="I9:I23" si="2">SUM(C9:H9)</f>
        <v>1780.9913636363635</v>
      </c>
      <c r="J9" s="109">
        <f t="shared" ref="J9:J23" si="3">(I9-C9)*4</f>
        <v>6794.545454545454</v>
      </c>
      <c r="K9" s="109">
        <f t="shared" si="0"/>
        <v>7123.9654545454541</v>
      </c>
      <c r="L9" s="53">
        <f t="shared" ref="L9:L23" si="4">K9*1.1</f>
        <v>7836.3620000000001</v>
      </c>
      <c r="M9" s="54">
        <f>'SA Oct 2019'!BB3</f>
        <v>0</v>
      </c>
      <c r="N9" s="54">
        <f>'SA Oct 2019'!BC3</f>
        <v>0</v>
      </c>
      <c r="O9" s="54">
        <f>'SA Oct 2019'!BD3</f>
        <v>0</v>
      </c>
      <c r="P9" s="54">
        <f>'SA Oct 2019'!BE3</f>
        <v>0</v>
      </c>
      <c r="Q9" s="110" t="str">
        <f t="shared" ref="Q9:Q23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U23" si="6">S9*1.1</f>
        <v>7836.3620000000001</v>
      </c>
      <c r="V9" s="98">
        <f t="shared" ref="V9:V23" si="7">T9*1.1</f>
        <v>7836.3620000000001</v>
      </c>
      <c r="W9" s="55">
        <f>'SA Oct 2019'!BL3</f>
        <v>0</v>
      </c>
      <c r="X9" s="56" t="str">
        <f>'SA Oct 2019'!BM3</f>
        <v>n</v>
      </c>
    </row>
    <row r="10" spans="1:53" x14ac:dyDescent="0.15">
      <c r="A10" s="70" t="str">
        <f>'SA Oct 2019'!K4</f>
        <v>Click Energy</v>
      </c>
      <c r="B10" s="49" t="str">
        <f>'SA Oct 2019'!L4</f>
        <v>Click Business Start</v>
      </c>
      <c r="C10" s="46">
        <f>IF('SA Oct 2019'!BP4=0,91*'SA Oct 2019'!M4/100,(91*'SA Oct 2019'!M4/100)+'SA Oct 2019'!BP4/4)</f>
        <v>64.48590909090909</v>
      </c>
      <c r="D10" s="46">
        <f>IF('SA Oct 2019'!O4="",$C$5*'SA Oct 2019'!N4/100,IF($C$5&gt;='SA Oct 2019'!P4,('SA Oct 2019'!P4*'SA Oct 2019'!N4/100),($C$5*'SA Oct 2019'!N4/100)))</f>
        <v>1717.7272727272727</v>
      </c>
      <c r="E10" s="46">
        <f>IF(AND('SA Oct 2019'!P4&gt;0,'SA Oct 2019'!R4&gt;0),IF($C$5&lt;'SA Oct 2019'!P4,0,IF($C$5&lt;=('SA Oct 2019'!R4+'SA Oct 2019'!P4),(($C$5-'SA Oct 2019'!P4)*'SA Oct 2019'!Q4/100),(('SA Oct 2019'!R4)*'SA Oct 2019'!Q4/100))),0)</f>
        <v>0</v>
      </c>
      <c r="F10" s="46">
        <f>IF(AND('SA Oct 2019'!Q4&gt;0,'SA Oct 2019'!S4&gt;0),IF($C$5&lt;('SA Oct 2019'!R4+'SA Oct 2019'!P4),0,IF($C$5&lt;=('SA Oct 2019'!T4+'SA Oct 2019'!R4+'SA Oct 2019'!P4),(($C$5-('SA Oct 2019'!R4+'SA Oct 2019'!P4))*'SA Oct 2019'!S4/100),('SA Oct 2019'!T4*'SA Oct 2019'!S4/100))),0)</f>
        <v>0</v>
      </c>
      <c r="G10" s="50">
        <v>0</v>
      </c>
      <c r="H10" s="46">
        <f>IF(AND('SA Oct 2019'!R4&gt;0,'SA Oct 2019'!T4&gt;0),IF(($C$5&lt;'SA Oct 2019'!T4),(0),($C$5-'SA Oct 2019'!T4)*'SA Oct 2019'!U4/100),IF(AND('SA Oct 2019'!R4&gt;0,'SA Oct 2019'!T4=""),IF(($C$5&lt;'SA Oct 2019'!R4+'SA Oct 2019'!P4),(0),(($C$5-('SA Oct 2019'!R4+'SA Oct 2019'!P4))*'SA Oct 2019'!S4/100)),IF(AND('SA Oct 2019'!P4&gt;0,'SA Oct 2019'!R4=""&gt;0),IF(($C$5&lt;'SA Oct 2019'!P4),(0),($C$5-'SA Oct 2019'!P4)*'SA Oct 2019'!Q4/100),0)))</f>
        <v>0</v>
      </c>
      <c r="I10" s="52">
        <f t="shared" si="2"/>
        <v>1782.2131818181817</v>
      </c>
      <c r="J10" s="109">
        <f t="shared" si="3"/>
        <v>6870.909090909091</v>
      </c>
      <c r="K10" s="109">
        <f t="shared" si="0"/>
        <v>7128.852727272727</v>
      </c>
      <c r="L10" s="53">
        <f t="shared" si="4"/>
        <v>7841.7380000000003</v>
      </c>
      <c r="M10" s="54">
        <f>'SA Oct 2019'!BB4</f>
        <v>0</v>
      </c>
      <c r="N10" s="54">
        <f>'SA Oct 2019'!BC4</f>
        <v>0</v>
      </c>
      <c r="O10" s="54">
        <f>'SA Oct 2019'!BD4</f>
        <v>0</v>
      </c>
      <c r="P10" s="54">
        <f>'SA Oct 2019'!BE4</f>
        <v>0</v>
      </c>
      <c r="Q10" s="110" t="str">
        <f t="shared" si="5"/>
        <v>No discount</v>
      </c>
      <c r="R10" s="73" t="str">
        <f t="shared" si="1"/>
        <v>Exclusive</v>
      </c>
      <c r="S10" s="111">
        <f t="shared" ref="S10:S23" si="8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7128.852727272727</v>
      </c>
      <c r="T10" s="112">
        <f t="shared" ref="T10:T23" si="9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7128.852727272727</v>
      </c>
      <c r="U10" s="97">
        <f t="shared" si="6"/>
        <v>7841.7380000000003</v>
      </c>
      <c r="V10" s="98">
        <f t="shared" si="7"/>
        <v>7841.7380000000003</v>
      </c>
      <c r="W10" s="55">
        <f>'SA Oct 2019'!BL4</f>
        <v>0</v>
      </c>
      <c r="X10" s="56" t="str">
        <f>'SA Oct 2019'!BM4</f>
        <v>n</v>
      </c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</row>
    <row r="11" spans="1:53" x14ac:dyDescent="0.15">
      <c r="A11" s="70" t="str">
        <f>'SA Oct 2019'!K5</f>
        <v>Commander</v>
      </c>
      <c r="B11" s="49" t="str">
        <f>'SA Oct 2019'!L5</f>
        <v>Market offer</v>
      </c>
      <c r="C11" s="46">
        <f>IF('SA Oct 2019'!BP5=0,91*'SA Oct 2019'!M5/100,(91*'SA Oct 2019'!M5/100)+'SA Oct 2019'!BP5/4)</f>
        <v>87.053909090909087</v>
      </c>
      <c r="D11" s="46">
        <f>IF('SA Oct 2019'!O5="",$C$5*'SA Oct 2019'!N5/100,IF($C$5&gt;='SA Oct 2019'!P5,('SA Oct 2019'!P5*'SA Oct 2019'!N5/100),($C$5*'SA Oct 2019'!N5/100)))</f>
        <v>1687.727272727273</v>
      </c>
      <c r="E11" s="46">
        <f>IF(AND('SA Oct 2019'!P5&gt;0,'SA Oct 2019'!R5&gt;0),IF($C$5&lt;'SA Oct 2019'!P5,0,IF($C$5&lt;=('SA Oct 2019'!R5+'SA Oct 2019'!P5),(($C$5-'SA Oct 2019'!P5)*'SA Oct 2019'!Q5/100),(('SA Oct 2019'!R5)*'SA Oct 2019'!Q5/100))),0)</f>
        <v>0</v>
      </c>
      <c r="F11" s="46">
        <f>IF(AND('SA Oct 2019'!Q5&gt;0,'SA Oct 2019'!S5&gt;0),IF($C$5&lt;('SA Oct 2019'!R5+'SA Oct 2019'!P5),0,IF($C$5&lt;=('SA Oct 2019'!T5+'SA Oct 2019'!R5+'SA Oct 2019'!P5),(($C$5-('SA Oct 2019'!R5+'SA Oct 2019'!P5))*'SA Oct 2019'!S5/100),('SA Oct 2019'!T5*'SA Oct 2019'!S5/100))),0)</f>
        <v>0</v>
      </c>
      <c r="G11" s="50">
        <v>0</v>
      </c>
      <c r="H11" s="46">
        <f>IF(AND('SA Oct 2019'!R5&gt;0,'SA Oct 2019'!T5&gt;0),IF(($C$5&lt;'SA Oct 2019'!T5),(0),($C$5-'SA Oct 2019'!T5)*'SA Oct 2019'!U5/100),IF(AND('SA Oct 2019'!R5&gt;0,'SA Oct 2019'!T5=""),IF(($C$5&lt;'SA Oct 2019'!R5+'SA Oct 2019'!P5),(0),(($C$5-('SA Oct 2019'!R5+'SA Oct 2019'!P5))*'SA Oct 2019'!S5/100)),IF(AND('SA Oct 2019'!P5&gt;0,'SA Oct 2019'!R5=""&gt;0),IF(($C$5&lt;'SA Oct 2019'!P5),(0),($C$5-'SA Oct 2019'!P5)*'SA Oct 2019'!Q5/100),0)))</f>
        <v>0</v>
      </c>
      <c r="I11" s="52">
        <f t="shared" si="2"/>
        <v>1774.7811818181822</v>
      </c>
      <c r="J11" s="109">
        <f t="shared" si="3"/>
        <v>6750.9090909090919</v>
      </c>
      <c r="K11" s="109">
        <f t="shared" si="0"/>
        <v>7099.1247272727287</v>
      </c>
      <c r="L11" s="53">
        <f t="shared" si="4"/>
        <v>7809.0372000000025</v>
      </c>
      <c r="M11" s="54">
        <f>'SA Oct 2019'!BB5</f>
        <v>0</v>
      </c>
      <c r="N11" s="54">
        <f>'SA Oct 2019'!BC5</f>
        <v>0</v>
      </c>
      <c r="O11" s="54">
        <f>'SA Oct 2019'!BD5</f>
        <v>0</v>
      </c>
      <c r="P11" s="54">
        <f>'SA Oct 2019'!BE5</f>
        <v>0</v>
      </c>
      <c r="Q11" s="110" t="str">
        <f t="shared" si="5"/>
        <v>No discount</v>
      </c>
      <c r="R11" s="73" t="str">
        <f t="shared" si="1"/>
        <v>Exclusive</v>
      </c>
      <c r="S11" s="111">
        <f t="shared" si="8"/>
        <v>7099.1247272727287</v>
      </c>
      <c r="T11" s="112">
        <f t="shared" si="9"/>
        <v>7099.1247272727287</v>
      </c>
      <c r="U11" s="97">
        <f t="shared" si="6"/>
        <v>7809.0372000000025</v>
      </c>
      <c r="V11" s="98">
        <f t="shared" si="7"/>
        <v>7809.0372000000025</v>
      </c>
      <c r="W11" s="55">
        <f>'SA Oct 2019'!BL5</f>
        <v>0</v>
      </c>
      <c r="X11" s="56" t="str">
        <f>'SA Oct 2019'!BM5</f>
        <v>n</v>
      </c>
    </row>
    <row r="12" spans="1:53" x14ac:dyDescent="0.15">
      <c r="A12" s="70" t="str">
        <f>'SA Oct 2019'!K6</f>
        <v>Diamond Energy</v>
      </c>
      <c r="B12" s="49" t="str">
        <f>'SA Oct 2019'!L6</f>
        <v>Renewable Saver POT</v>
      </c>
      <c r="C12" s="46">
        <f>IF('SA Oct 2019'!BP6=0,91*'SA Oct 2019'!M6/100,(91*'SA Oct 2019'!M6/100)+'SA Oct 2019'!BP6/4)</f>
        <v>90.545000000000002</v>
      </c>
      <c r="D12" s="46">
        <f>IF('SA Oct 2019'!O6="",$C$5*'SA Oct 2019'!N6/100,IF($C$5&gt;='SA Oct 2019'!P6,('SA Oct 2019'!P6*'SA Oct 2019'!N6/100),($C$5*'SA Oct 2019'!N6/100)))</f>
        <v>375.54545454545456</v>
      </c>
      <c r="E12" s="46">
        <f>IF(AND('SA Oct 2019'!P6&gt;0,'SA Oct 2019'!R6&gt;0),IF($C$5&lt;'SA Oct 2019'!P6,0,IF($C$5&lt;=('SA Oct 2019'!R6+'SA Oct 2019'!P6),(($C$5-'SA Oct 2019'!P6)*'SA Oct 2019'!Q6/100),(('SA Oct 2019'!R6)*'SA Oct 2019'!Q6/100))),0)</f>
        <v>0</v>
      </c>
      <c r="F12" s="46">
        <f>IF(AND('SA Oct 2019'!Q6&gt;0,'SA Oct 2019'!S6&gt;0),IF($C$5&lt;('SA Oct 2019'!R6+'SA Oct 2019'!P6),0,IF($C$5&lt;=('SA Oct 2019'!T6+'SA Oct 2019'!R6+'SA Oct 2019'!P6),(($C$5-('SA Oct 2019'!R6+'SA Oct 2019'!P6))*'SA Oct 2019'!S6/100),('SA Oct 2019'!T6*'SA Oct 2019'!S6/100))),0)</f>
        <v>0</v>
      </c>
      <c r="G12" s="50">
        <v>0</v>
      </c>
      <c r="H12" s="46">
        <f>IF(AND('SA Oct 2019'!R6&gt;0,'SA Oct 2019'!T6&gt;0),IF(($C$5&lt;'SA Oct 2019'!T6),(0),($C$5-'SA Oct 2019'!T6)*'SA Oct 2019'!U6/100),IF(AND('SA Oct 2019'!R6&gt;0,'SA Oct 2019'!T6=""),IF(($C$5&lt;'SA Oct 2019'!R6+'SA Oct 2019'!P6),(0),(($C$5-('SA Oct 2019'!R6+'SA Oct 2019'!P6))*'SA Oct 2019'!S6/100)),IF(AND('SA Oct 2019'!P6&gt;0,'SA Oct 2019'!R6=""&gt;0),IF(($C$5&lt;'SA Oct 2019'!P6),(0),($C$5-'SA Oct 2019'!P6)*'SA Oct 2019'!Q6/100),0)))</f>
        <v>1598.1818181818182</v>
      </c>
      <c r="I12" s="52">
        <f t="shared" si="2"/>
        <v>2064.272272727273</v>
      </c>
      <c r="J12" s="109">
        <f t="shared" si="3"/>
        <v>7894.9090909090919</v>
      </c>
      <c r="K12" s="109">
        <f t="shared" si="0"/>
        <v>8257.0890909090922</v>
      </c>
      <c r="L12" s="53">
        <f t="shared" si="4"/>
        <v>9082.7980000000025</v>
      </c>
      <c r="M12" s="54">
        <f>'SA Oct 2019'!BB6</f>
        <v>0</v>
      </c>
      <c r="N12" s="54">
        <f>'SA Oct 2019'!BC6</f>
        <v>0</v>
      </c>
      <c r="O12" s="54">
        <f>'SA Oct 2019'!BD6</f>
        <v>7</v>
      </c>
      <c r="P12" s="54">
        <f>'SA Oct 2019'!BE6</f>
        <v>0</v>
      </c>
      <c r="Q12" s="110" t="str">
        <f t="shared" si="5"/>
        <v>Pay-on-time off bill</v>
      </c>
      <c r="R12" s="73" t="str">
        <f t="shared" si="1"/>
        <v>Exclusive</v>
      </c>
      <c r="S12" s="111">
        <f t="shared" si="8"/>
        <v>8257.0890909090922</v>
      </c>
      <c r="T12" s="112">
        <f t="shared" si="9"/>
        <v>7679.0928545454553</v>
      </c>
      <c r="U12" s="97">
        <f t="shared" si="6"/>
        <v>9082.7980000000025</v>
      </c>
      <c r="V12" s="98">
        <f t="shared" si="7"/>
        <v>8447.0021400000023</v>
      </c>
      <c r="W12" s="55">
        <f>'SA Oct 2019'!BL6</f>
        <v>0</v>
      </c>
      <c r="X12" s="56" t="str">
        <f>'SA Oct 2019'!BM6</f>
        <v>n</v>
      </c>
    </row>
    <row r="13" spans="1:53" x14ac:dyDescent="0.15">
      <c r="A13" s="70" t="str">
        <f>'SA Oct 2019'!K7</f>
        <v>EnergyAustralia</v>
      </c>
      <c r="B13" s="49" t="str">
        <f>'SA Oct 2019'!L7</f>
        <v>Total Plan</v>
      </c>
      <c r="C13" s="46">
        <f>IF('SA Oct 2019'!BP7=0,91*'SA Oct 2019'!M7/100,(91*'SA Oct 2019'!M7/100)+'SA Oct 2019'!BP7/4)</f>
        <v>89.179999999999978</v>
      </c>
      <c r="D13" s="46">
        <f>IF('SA Oct 2019'!O7="",$C$5*'SA Oct 2019'!N7/100,IF($C$5&gt;='SA Oct 2019'!P7,('SA Oct 2019'!P7*'SA Oct 2019'!N7/100),($C$5*'SA Oct 2019'!N7/100)))</f>
        <v>1983.1818181818182</v>
      </c>
      <c r="E13" s="46">
        <f>IF(AND('SA Oct 2019'!P7&gt;0,'SA Oct 2019'!R7&gt;0),IF($C$5&lt;'SA Oct 2019'!P7,0,IF($C$5&lt;=('SA Oct 2019'!R7+'SA Oct 2019'!P7),(($C$5-'SA Oct 2019'!P7)*'SA Oct 2019'!Q7/100),(('SA Oct 2019'!R7)*'SA Oct 2019'!Q7/100))),0)</f>
        <v>0</v>
      </c>
      <c r="F13" s="46">
        <f>IF(AND('SA Oct 2019'!Q7&gt;0,'SA Oct 2019'!S7&gt;0),IF($C$5&lt;('SA Oct 2019'!R7+'SA Oct 2019'!P7),0,IF($C$5&lt;=('SA Oct 2019'!T7+'SA Oct 2019'!R7+'SA Oct 2019'!P7),(($C$5-('SA Oct 2019'!R7+'SA Oct 2019'!P7))*'SA Oct 2019'!S7/100),('SA Oct 2019'!T7*'SA Oct 2019'!S7/100))),0)</f>
        <v>0</v>
      </c>
      <c r="G13" s="50">
        <v>0</v>
      </c>
      <c r="H13" s="46">
        <f>IF(AND('SA Oct 2019'!R7&gt;0,'SA Oct 2019'!T7&gt;0),IF(($C$5&lt;'SA Oct 2019'!T7),(0),($C$5-'SA Oct 2019'!T7)*'SA Oct 2019'!U7/100),IF(AND('SA Oct 2019'!R7&gt;0,'SA Oct 2019'!T7=""),IF(($C$5&lt;'SA Oct 2019'!R7+'SA Oct 2019'!P7),(0),(($C$5-('SA Oct 2019'!R7+'SA Oct 2019'!P7))*'SA Oct 2019'!S7/100)),IF(AND('SA Oct 2019'!P7&gt;0,'SA Oct 2019'!R7=""&gt;0),IF(($C$5&lt;'SA Oct 2019'!P7),(0),($C$5-'SA Oct 2019'!P7)*'SA Oct 2019'!Q7/100),0)))</f>
        <v>0</v>
      </c>
      <c r="I13" s="52">
        <f t="shared" si="2"/>
        <v>2072.3618181818183</v>
      </c>
      <c r="J13" s="109">
        <f t="shared" si="3"/>
        <v>7932.727272727273</v>
      </c>
      <c r="K13" s="109">
        <f t="shared" si="0"/>
        <v>8289.4472727272732</v>
      </c>
      <c r="L13" s="53">
        <f t="shared" si="4"/>
        <v>9118.3920000000016</v>
      </c>
      <c r="M13" s="54">
        <f>'SA Oct 2019'!BB7</f>
        <v>5</v>
      </c>
      <c r="N13" s="54">
        <f>'SA Oct 2019'!BC7</f>
        <v>0</v>
      </c>
      <c r="O13" s="54">
        <f>'SA Oct 2019'!BD7</f>
        <v>0</v>
      </c>
      <c r="P13" s="54">
        <f>'SA Oct 2019'!BE7</f>
        <v>0</v>
      </c>
      <c r="Q13" s="110" t="str">
        <f t="shared" si="5"/>
        <v>Guaranteed off bill</v>
      </c>
      <c r="R13" s="73" t="str">
        <f t="shared" si="1"/>
        <v>Exclusive</v>
      </c>
      <c r="S13" s="111">
        <f t="shared" si="8"/>
        <v>7874.9749090909099</v>
      </c>
      <c r="T13" s="112">
        <f t="shared" si="9"/>
        <v>7874.9749090909099</v>
      </c>
      <c r="U13" s="97">
        <f t="shared" si="6"/>
        <v>8662.4724000000024</v>
      </c>
      <c r="V13" s="98">
        <f t="shared" si="7"/>
        <v>8662.4724000000024</v>
      </c>
      <c r="W13" s="55">
        <f>'SA Oct 2019'!BL7</f>
        <v>0</v>
      </c>
      <c r="X13" s="56" t="str">
        <f>'SA Oct 2019'!BM7</f>
        <v>n</v>
      </c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</row>
    <row r="14" spans="1:53" x14ac:dyDescent="0.15">
      <c r="A14" s="70" t="str">
        <f>'SA Oct 2019'!K8</f>
        <v>Lumo Energy</v>
      </c>
      <c r="B14" s="49" t="str">
        <f>'SA Oct 2019'!L8</f>
        <v>Basic</v>
      </c>
      <c r="C14" s="46">
        <f>IF('SA Oct 2019'!BP8=0,91*'SA Oct 2019'!M8/100,(91*'SA Oct 2019'!M8/100)+'SA Oct 2019'!BP8/4)</f>
        <v>78.276545454545442</v>
      </c>
      <c r="D14" s="46">
        <f>IF('SA Oct 2019'!O8="",$C$5*'SA Oct 2019'!N8/100,IF($C$5&gt;='SA Oct 2019'!P8,('SA Oct 2019'!P8*'SA Oct 2019'!N8/100),($C$5*'SA Oct 2019'!N8/100)))</f>
        <v>1745</v>
      </c>
      <c r="E14" s="46">
        <f>IF(AND('SA Oct 2019'!P8&gt;0,'SA Oct 2019'!R8&gt;0),IF($C$5&lt;'SA Oct 2019'!P8,0,IF($C$5&lt;=('SA Oct 2019'!R8+'SA Oct 2019'!P8),(($C$5-'SA Oct 2019'!P8)*'SA Oct 2019'!Q8/100),(('SA Oct 2019'!R8)*'SA Oct 2019'!Q8/100))),0)</f>
        <v>0</v>
      </c>
      <c r="F14" s="46">
        <f>IF(AND('SA Oct 2019'!Q8&gt;0,'SA Oct 2019'!S8&gt;0),IF($C$5&lt;('SA Oct 2019'!R8+'SA Oct 2019'!P8),0,IF($C$5&lt;=('SA Oct 2019'!T8+'SA Oct 2019'!R8+'SA Oct 2019'!P8),(($C$5-('SA Oct 2019'!R8+'SA Oct 2019'!P8))*'SA Oct 2019'!S8/100),('SA Oct 2019'!T8*'SA Oct 2019'!S8/100))),0)</f>
        <v>0</v>
      </c>
      <c r="G14" s="50">
        <v>0</v>
      </c>
      <c r="H14" s="46">
        <f>IF(AND('SA Oct 2019'!R8&gt;0,'SA Oct 2019'!T8&gt;0),IF(($C$5&lt;'SA Oct 2019'!T8),(0),($C$5-'SA Oct 2019'!T8)*'SA Oct 2019'!U8/100),IF(AND('SA Oct 2019'!R8&gt;0,'SA Oct 2019'!T8=""),IF(($C$5&lt;'SA Oct 2019'!R8+'SA Oct 2019'!P8),(0),(($C$5-('SA Oct 2019'!R8+'SA Oct 2019'!P8))*'SA Oct 2019'!S8/100)),IF(AND('SA Oct 2019'!P8&gt;0,'SA Oct 2019'!R8=""&gt;0),IF(($C$5&lt;'SA Oct 2019'!P8),(0),($C$5-'SA Oct 2019'!P8)*'SA Oct 2019'!Q8/100),0)))</f>
        <v>0</v>
      </c>
      <c r="I14" s="52">
        <f t="shared" si="2"/>
        <v>1823.2765454545454</v>
      </c>
      <c r="J14" s="109">
        <f t="shared" si="3"/>
        <v>6980</v>
      </c>
      <c r="K14" s="109">
        <f t="shared" si="0"/>
        <v>7293.1061818181815</v>
      </c>
      <c r="L14" s="53">
        <f t="shared" si="4"/>
        <v>8022.4168</v>
      </c>
      <c r="M14" s="54">
        <f>'SA Oct 2019'!BB8</f>
        <v>0</v>
      </c>
      <c r="N14" s="54">
        <f>'SA Oct 2019'!BC8</f>
        <v>0</v>
      </c>
      <c r="O14" s="54">
        <f>'SA Oct 2019'!BD8</f>
        <v>0</v>
      </c>
      <c r="P14" s="54">
        <f>'SA Oct 2019'!BE8</f>
        <v>0</v>
      </c>
      <c r="Q14" s="110" t="str">
        <f t="shared" si="5"/>
        <v>No discount</v>
      </c>
      <c r="R14" s="73" t="str">
        <f t="shared" si="1"/>
        <v>Exclusive</v>
      </c>
      <c r="S14" s="111">
        <f t="shared" si="8"/>
        <v>7293.1061818181815</v>
      </c>
      <c r="T14" s="112">
        <f t="shared" si="9"/>
        <v>7293.1061818181815</v>
      </c>
      <c r="U14" s="97">
        <f t="shared" si="6"/>
        <v>8022.4168</v>
      </c>
      <c r="V14" s="98">
        <f t="shared" si="7"/>
        <v>8022.4168</v>
      </c>
      <c r="W14" s="55">
        <f>'SA Oct 2019'!BL8</f>
        <v>0</v>
      </c>
      <c r="X14" s="56" t="str">
        <f>'SA Oct 2019'!BM8</f>
        <v>n</v>
      </c>
    </row>
    <row r="15" spans="1:53" x14ac:dyDescent="0.15">
      <c r="A15" s="70" t="str">
        <f>'SA Oct 2019'!K9</f>
        <v>Momentum Energy</v>
      </c>
      <c r="B15" s="49" t="str">
        <f>'SA Oct 2019'!L9</f>
        <v>SmilePower Flexi</v>
      </c>
      <c r="C15" s="46">
        <f>IF('SA Oct 2019'!BP9=0,91*'SA Oct 2019'!M9/100,(91*'SA Oct 2019'!M9/100)+'SA Oct 2019'!BP9/4)</f>
        <v>87.259900000000002</v>
      </c>
      <c r="D15" s="46">
        <f>IF('SA Oct 2019'!O9="",$C$5*'SA Oct 2019'!N9/100,IF($C$5&gt;='SA Oct 2019'!P9,('SA Oct 2019'!P9*'SA Oct 2019'!N9/100),($C$5*'SA Oct 2019'!N9/100)))</f>
        <v>1615.5</v>
      </c>
      <c r="E15" s="46">
        <f>IF(AND('SA Oct 2019'!P9&gt;0,'SA Oct 2019'!R9&gt;0),IF($C$5&lt;'SA Oct 2019'!P9,0,IF($C$5&lt;=('SA Oct 2019'!R9+'SA Oct 2019'!P9),(($C$5-'SA Oct 2019'!P9)*'SA Oct 2019'!Q9/100),(('SA Oct 2019'!R9)*'SA Oct 2019'!Q9/100))),0)</f>
        <v>0</v>
      </c>
      <c r="F15" s="46">
        <f>IF(AND('SA Oct 2019'!Q9&gt;0,'SA Oct 2019'!S9&gt;0),IF($C$5&lt;('SA Oct 2019'!R9+'SA Oct 2019'!P9),0,IF($C$5&lt;=('SA Oct 2019'!T9+'SA Oct 2019'!R9+'SA Oct 2019'!P9),(($C$5-('SA Oct 2019'!R9+'SA Oct 2019'!P9))*'SA Oct 2019'!S9/100),('SA Oct 2019'!T9*'SA Oct 2019'!S9/100))),0)</f>
        <v>0</v>
      </c>
      <c r="G15" s="50">
        <v>0</v>
      </c>
      <c r="H15" s="46">
        <f>IF(AND('SA Oct 2019'!R9&gt;0,'SA Oct 2019'!T9&gt;0),IF(($C$5&lt;'SA Oct 2019'!T9),(0),($C$5-'SA Oct 2019'!T9)*'SA Oct 2019'!U9/100),IF(AND('SA Oct 2019'!R9&gt;0,'SA Oct 2019'!T9=""),IF(($C$5&lt;'SA Oct 2019'!R9+'SA Oct 2019'!P9),(0),(($C$5-('SA Oct 2019'!R9+'SA Oct 2019'!P9))*'SA Oct 2019'!S9/100)),IF(AND('SA Oct 2019'!P9&gt;0,'SA Oct 2019'!R9=""&gt;0),IF(($C$5&lt;'SA Oct 2019'!P9),(0),($C$5-'SA Oct 2019'!P9)*'SA Oct 2019'!Q9/100),0)))</f>
        <v>0</v>
      </c>
      <c r="I15" s="52">
        <f t="shared" si="2"/>
        <v>1702.7599</v>
      </c>
      <c r="J15" s="109">
        <f t="shared" si="3"/>
        <v>6462</v>
      </c>
      <c r="K15" s="109">
        <f t="shared" si="0"/>
        <v>6811.0396000000001</v>
      </c>
      <c r="L15" s="53">
        <f t="shared" si="4"/>
        <v>7492.1435600000004</v>
      </c>
      <c r="M15" s="54">
        <f>'SA Oct 2019'!BB9</f>
        <v>0</v>
      </c>
      <c r="N15" s="54">
        <f>'SA Oct 2019'!BC9</f>
        <v>0</v>
      </c>
      <c r="O15" s="54">
        <f>'SA Oct 2019'!BD9</f>
        <v>0</v>
      </c>
      <c r="P15" s="54">
        <f>'SA Oct 2019'!BE9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8"/>
        <v>6811.0396000000001</v>
      </c>
      <c r="T15" s="112">
        <f t="shared" si="9"/>
        <v>6811.0396000000001</v>
      </c>
      <c r="U15" s="97">
        <f t="shared" si="6"/>
        <v>7492.1435600000004</v>
      </c>
      <c r="V15" s="98">
        <f t="shared" si="7"/>
        <v>7492.1435600000004</v>
      </c>
      <c r="W15" s="55">
        <f>'SA Oct 2019'!BL9</f>
        <v>0</v>
      </c>
      <c r="X15" s="56" t="str">
        <f>'SA Oct 2019'!BM9</f>
        <v>n</v>
      </c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</row>
    <row r="16" spans="1:53" x14ac:dyDescent="0.15">
      <c r="A16" s="70" t="str">
        <f>'SA Oct 2019'!K10</f>
        <v>Origin Energy</v>
      </c>
      <c r="B16" s="49" t="str">
        <f>'SA Oct 2019'!L10</f>
        <v xml:space="preserve">Flexi </v>
      </c>
      <c r="C16" s="46">
        <f>IF('SA Oct 2019'!BP10=0,91*'SA Oct 2019'!M10/100,(91*'SA Oct 2019'!M10/100)+'SA Oct 2019'!BP10/4)</f>
        <v>81.999272727272725</v>
      </c>
      <c r="D16" s="46">
        <f>IF('SA Oct 2019'!O10="",$C$5*'SA Oct 2019'!N10/100,IF($C$5&gt;='SA Oct 2019'!P10,('SA Oct 2019'!P10*'SA Oct 2019'!N10/100),($C$5*'SA Oct 2019'!N10/100)))</f>
        <v>1990.4545454545453</v>
      </c>
      <c r="E16" s="46">
        <f>IF(AND('SA Oct 2019'!P10&gt;0,'SA Oct 2019'!R10&gt;0),IF($C$5&lt;'SA Oct 2019'!P10,0,IF($C$5&lt;=('SA Oct 2019'!R10+'SA Oct 2019'!P10),(($C$5-'SA Oct 2019'!P10)*'SA Oct 2019'!Q10/100),(('SA Oct 2019'!R10)*'SA Oct 2019'!Q10/100))),0)</f>
        <v>0</v>
      </c>
      <c r="F16" s="46">
        <f>IF(AND('SA Oct 2019'!Q10&gt;0,'SA Oct 2019'!S10&gt;0),IF($C$5&lt;('SA Oct 2019'!R10+'SA Oct 2019'!P10),0,IF($C$5&lt;=('SA Oct 2019'!T10+'SA Oct 2019'!R10+'SA Oct 2019'!P10),(($C$5-('SA Oct 2019'!R10+'SA Oct 2019'!P10))*'SA Oct 2019'!S10/100),('SA Oct 2019'!T10*'SA Oct 2019'!S10/100))),0)</f>
        <v>0</v>
      </c>
      <c r="G16" s="50">
        <v>0</v>
      </c>
      <c r="H16" s="46">
        <f>IF(AND('SA Oct 2019'!R10&gt;0,'SA Oct 2019'!T10&gt;0),IF(($C$5&lt;'SA Oct 2019'!T10),(0),($C$5-'SA Oct 2019'!T10)*'SA Oct 2019'!U10/100),IF(AND('SA Oct 2019'!R10&gt;0,'SA Oct 2019'!T10=""),IF(($C$5&lt;'SA Oct 2019'!R10+'SA Oct 2019'!P10),(0),(($C$5-('SA Oct 2019'!R10+'SA Oct 2019'!P10))*'SA Oct 2019'!S10/100)),IF(AND('SA Oct 2019'!P10&gt;0,'SA Oct 2019'!R10=""&gt;0),IF(($C$5&lt;'SA Oct 2019'!P10),(0),($C$5-'SA Oct 2019'!P10)*'SA Oct 2019'!Q10/100),0)))</f>
        <v>0</v>
      </c>
      <c r="I16" s="52">
        <f t="shared" si="2"/>
        <v>2072.453818181818</v>
      </c>
      <c r="J16" s="109">
        <f t="shared" si="3"/>
        <v>7961.8181818181811</v>
      </c>
      <c r="K16" s="109">
        <f t="shared" si="0"/>
        <v>8289.8152727272718</v>
      </c>
      <c r="L16" s="53">
        <f t="shared" si="4"/>
        <v>9118.7968000000001</v>
      </c>
      <c r="M16" s="54">
        <f>'SA Oct 2019'!BB10</f>
        <v>14</v>
      </c>
      <c r="N16" s="54">
        <f>'SA Oct 2019'!BC10</f>
        <v>0</v>
      </c>
      <c r="O16" s="54">
        <f>'SA Oct 2019'!BD10</f>
        <v>0</v>
      </c>
      <c r="P16" s="54">
        <f>'SA Oct 2019'!BE10</f>
        <v>0</v>
      </c>
      <c r="Q16" s="110" t="str">
        <f t="shared" si="5"/>
        <v>Guaranteed off bill</v>
      </c>
      <c r="R16" s="73" t="str">
        <f t="shared" si="1"/>
        <v>Inclusive</v>
      </c>
      <c r="S16" s="111">
        <f t="shared" si="8"/>
        <v>7129.2411345454539</v>
      </c>
      <c r="T16" s="112">
        <f t="shared" si="9"/>
        <v>7129.2411345454539</v>
      </c>
      <c r="U16" s="97">
        <f t="shared" si="6"/>
        <v>7842.1652480000002</v>
      </c>
      <c r="V16" s="98">
        <f t="shared" si="7"/>
        <v>7842.1652480000002</v>
      </c>
      <c r="W16" s="55">
        <f>'SA Oct 2019'!BL10</f>
        <v>12</v>
      </c>
      <c r="X16" s="56" t="str">
        <f>'SA Oct 2019'!BM10</f>
        <v>y</v>
      </c>
    </row>
    <row r="17" spans="1:53" x14ac:dyDescent="0.15">
      <c r="A17" s="70" t="str">
        <f>'SA Oct 2019'!K11</f>
        <v>Powerdirect</v>
      </c>
      <c r="B17" s="49" t="str">
        <f>'SA Oct 2019'!L11</f>
        <v>Discount Saver</v>
      </c>
      <c r="C17" s="46">
        <f>IF('SA Oct 2019'!BP11=0,91*'SA Oct 2019'!M11/100,(91*'SA Oct 2019'!M11/100)+'SA Oct 2019'!BP11/4)</f>
        <v>80.989999999999995</v>
      </c>
      <c r="D17" s="46">
        <f>IF('SA Oct 2019'!O11="",$C$5*'SA Oct 2019'!N11/100,IF($C$5&gt;='SA Oct 2019'!P11,('SA Oct 2019'!P11*'SA Oct 2019'!N11/100),($C$5*'SA Oct 2019'!N11/100)))</f>
        <v>1990.9090909090905</v>
      </c>
      <c r="E17" s="46">
        <f>IF(AND('SA Oct 2019'!P11&gt;0,'SA Oct 2019'!R11&gt;0),IF($C$5&lt;'SA Oct 2019'!P11,0,IF($C$5&lt;=('SA Oct 2019'!R11+'SA Oct 2019'!P11),(($C$5-'SA Oct 2019'!P11)*'SA Oct 2019'!Q11/100),(('SA Oct 2019'!R11)*'SA Oct 2019'!Q11/100))),0)</f>
        <v>0</v>
      </c>
      <c r="F17" s="46">
        <f>IF(AND('SA Oct 2019'!Q11&gt;0,'SA Oct 2019'!S11&gt;0),IF($C$5&lt;('SA Oct 2019'!R11+'SA Oct 2019'!P11),0,IF($C$5&lt;=('SA Oct 2019'!T11+'SA Oct 2019'!R11+'SA Oct 2019'!P11),(($C$5-('SA Oct 2019'!R11+'SA Oct 2019'!P11))*'SA Oct 2019'!S11/100),('SA Oct 2019'!T11*'SA Oct 2019'!S11/100))),0)</f>
        <v>0</v>
      </c>
      <c r="G17" s="50">
        <v>0</v>
      </c>
      <c r="H17" s="46">
        <f>IF(AND('SA Oct 2019'!R11&gt;0,'SA Oct 2019'!T11&gt;0),IF(($C$5&lt;'SA Oct 2019'!T11),(0),($C$5-'SA Oct 2019'!T11)*'SA Oct 2019'!U11/100),IF(AND('SA Oct 2019'!R11&gt;0,'SA Oct 2019'!T11=""),IF(($C$5&lt;'SA Oct 2019'!R11+'SA Oct 2019'!P11),(0),(($C$5-('SA Oct 2019'!R11+'SA Oct 2019'!P11))*'SA Oct 2019'!S11/100)),IF(AND('SA Oct 2019'!P11&gt;0,'SA Oct 2019'!R11=""&gt;0),IF(($C$5&lt;'SA Oct 2019'!P11),(0),($C$5-'SA Oct 2019'!P11)*'SA Oct 2019'!Q11/100),0)))</f>
        <v>0</v>
      </c>
      <c r="I17" s="52">
        <f t="shared" si="2"/>
        <v>2071.8990909090903</v>
      </c>
      <c r="J17" s="109">
        <f t="shared" si="3"/>
        <v>7963.6363636363612</v>
      </c>
      <c r="K17" s="109">
        <f t="shared" si="0"/>
        <v>8287.5963636363613</v>
      </c>
      <c r="L17" s="53">
        <f t="shared" si="4"/>
        <v>9116.3559999999979</v>
      </c>
      <c r="M17" s="54">
        <f>'SA Oct 2019'!BB11</f>
        <v>15</v>
      </c>
      <c r="N17" s="54">
        <f>'SA Oct 2019'!BC11</f>
        <v>0</v>
      </c>
      <c r="O17" s="54">
        <f>'SA Oct 2019'!BD11</f>
        <v>0</v>
      </c>
      <c r="P17" s="54">
        <f>'SA Oct 2019'!BE11</f>
        <v>0</v>
      </c>
      <c r="Q17" s="110" t="str">
        <f t="shared" si="5"/>
        <v>Guaranteed off bill</v>
      </c>
      <c r="R17" s="73" t="str">
        <f t="shared" si="1"/>
        <v>Exclusive</v>
      </c>
      <c r="S17" s="111">
        <f t="shared" si="8"/>
        <v>7044.4569090909072</v>
      </c>
      <c r="T17" s="112">
        <f t="shared" si="9"/>
        <v>7044.4569090909072</v>
      </c>
      <c r="U17" s="97">
        <f t="shared" si="6"/>
        <v>7748.9025999999985</v>
      </c>
      <c r="V17" s="98">
        <f t="shared" si="7"/>
        <v>7748.9025999999985</v>
      </c>
      <c r="W17" s="55">
        <f>'SA Oct 2019'!BL11</f>
        <v>0</v>
      </c>
      <c r="X17" s="56" t="str">
        <f>'SA Oct 2019'!BM11</f>
        <v>n</v>
      </c>
    </row>
    <row r="18" spans="1:53" x14ac:dyDescent="0.15">
      <c r="A18" s="70" t="str">
        <f>'SA Oct 2019'!K12</f>
        <v>Red Energy</v>
      </c>
      <c r="B18" s="49" t="str">
        <f>'SA Oct 2019'!L12</f>
        <v>Red Business Saver</v>
      </c>
      <c r="C18" s="46">
        <f>IF('SA Oct 2019'!BP12=0,91*'SA Oct 2019'!M12/100,(91*'SA Oct 2019'!M12/100)+'SA Oct 2019'!BP12/4)</f>
        <v>79.260999999999996</v>
      </c>
      <c r="D18" s="46">
        <f>IF('SA Oct 2019'!O12="",$C$5*'SA Oct 2019'!N12/100,IF($C$5&gt;='SA Oct 2019'!P12,('SA Oct 2019'!P12*'SA Oct 2019'!N12/100),($C$5*'SA Oct 2019'!N12/100)))</f>
        <v>1754.9999999999998</v>
      </c>
      <c r="E18" s="46">
        <f>IF(AND('SA Oct 2019'!P12&gt;0,'SA Oct 2019'!R12&gt;0),IF($C$5&lt;'SA Oct 2019'!P12,0,IF($C$5&lt;=('SA Oct 2019'!R12+'SA Oct 2019'!P12),(($C$5-'SA Oct 2019'!P12)*'SA Oct 2019'!Q12/100),(('SA Oct 2019'!R12)*'SA Oct 2019'!Q12/100))),0)</f>
        <v>0</v>
      </c>
      <c r="F18" s="46">
        <f>IF(AND('SA Oct 2019'!Q12&gt;0,'SA Oct 2019'!S12&gt;0),IF($C$5&lt;('SA Oct 2019'!R12+'SA Oct 2019'!P12),0,IF($C$5&lt;=('SA Oct 2019'!T12+'SA Oct 2019'!R12+'SA Oct 2019'!P12),(($C$5-('SA Oct 2019'!R12+'SA Oct 2019'!P12))*'SA Oct 2019'!S12/100),('SA Oct 2019'!T12*'SA Oct 2019'!S12/100))),0)</f>
        <v>0</v>
      </c>
      <c r="G18" s="50">
        <v>0</v>
      </c>
      <c r="H18" s="46">
        <f>IF(AND('SA Oct 2019'!R12&gt;0,'SA Oct 2019'!T12&gt;0),IF(($C$5&lt;'SA Oct 2019'!T12),(0),($C$5-'SA Oct 2019'!T12)*'SA Oct 2019'!U12/100),IF(AND('SA Oct 2019'!R12&gt;0,'SA Oct 2019'!T12=""),IF(($C$5&lt;'SA Oct 2019'!R12+'SA Oct 2019'!P12),(0),(($C$5-('SA Oct 2019'!R12+'SA Oct 2019'!P12))*'SA Oct 2019'!S12/100)),IF(AND('SA Oct 2019'!P12&gt;0,'SA Oct 2019'!R12=""&gt;0),IF(($C$5&lt;'SA Oct 2019'!P12),(0),($C$5-'SA Oct 2019'!P12)*'SA Oct 2019'!Q12/100),0)))</f>
        <v>0</v>
      </c>
      <c r="I18" s="52">
        <f t="shared" si="2"/>
        <v>1834.2609999999997</v>
      </c>
      <c r="J18" s="109">
        <f t="shared" si="3"/>
        <v>7019.9999999999991</v>
      </c>
      <c r="K18" s="109">
        <f t="shared" si="0"/>
        <v>7337.043999999999</v>
      </c>
      <c r="L18" s="53">
        <f t="shared" si="4"/>
        <v>8070.7483999999995</v>
      </c>
      <c r="M18" s="54">
        <f>'SA Oct 2019'!BB12</f>
        <v>0</v>
      </c>
      <c r="N18" s="54">
        <f>'SA Oct 2019'!BC12</f>
        <v>0</v>
      </c>
      <c r="O18" s="54">
        <f>'SA Oct 2019'!BD12</f>
        <v>0</v>
      </c>
      <c r="P18" s="54">
        <f>'SA Oct 2019'!BE12</f>
        <v>0</v>
      </c>
      <c r="Q18" s="110" t="str">
        <f t="shared" si="5"/>
        <v>No discount</v>
      </c>
      <c r="R18" s="73" t="str">
        <f t="shared" si="1"/>
        <v>Inclusive</v>
      </c>
      <c r="S18" s="111">
        <f t="shared" si="8"/>
        <v>7337.043999999999</v>
      </c>
      <c r="T18" s="112">
        <f t="shared" si="9"/>
        <v>7337.043999999999</v>
      </c>
      <c r="U18" s="97">
        <f t="shared" si="6"/>
        <v>8070.7483999999995</v>
      </c>
      <c r="V18" s="98">
        <f t="shared" si="7"/>
        <v>8070.7483999999995</v>
      </c>
      <c r="W18" s="55">
        <f>'SA Oct 2019'!BL12</f>
        <v>0</v>
      </c>
      <c r="X18" s="56" t="str">
        <f>'SA Oct 2019'!BM12</f>
        <v>n</v>
      </c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</row>
    <row r="19" spans="1:53" x14ac:dyDescent="0.15">
      <c r="A19" s="70" t="str">
        <f>'SA Oct 2019'!K13</f>
        <v>Simply Energy</v>
      </c>
      <c r="B19" s="49" t="str">
        <f>'SA Oct 2019'!L13</f>
        <v>Business Plus</v>
      </c>
      <c r="C19" s="46">
        <f>IF('SA Oct 2019'!BP13=0,91*'SA Oct 2019'!M13/100,(91*'SA Oct 2019'!M13/100)+'SA Oct 2019'!BP13/4)</f>
        <v>78.605800000000002</v>
      </c>
      <c r="D19" s="46">
        <f>IF('SA Oct 2019'!O13="",$C$5*'SA Oct 2019'!N13/100,IF($C$5&gt;='SA Oct 2019'!P13,('SA Oct 2019'!P13*'SA Oct 2019'!N13/100),($C$5*'SA Oct 2019'!N13/100)))</f>
        <v>1754.9999999999998</v>
      </c>
      <c r="E19" s="46">
        <f>IF(AND('SA Oct 2019'!P13&gt;0,'SA Oct 2019'!R13&gt;0),IF($C$5&lt;'SA Oct 2019'!P13,0,IF($C$5&lt;=('SA Oct 2019'!R13+'SA Oct 2019'!P13),(($C$5-'SA Oct 2019'!P13)*'SA Oct 2019'!Q13/100),(('SA Oct 2019'!R13)*'SA Oct 2019'!Q13/100))),0)</f>
        <v>0</v>
      </c>
      <c r="F19" s="46">
        <f>IF(AND('SA Oct 2019'!Q13&gt;0,'SA Oct 2019'!S13&gt;0),IF($C$5&lt;('SA Oct 2019'!R13+'SA Oct 2019'!P13),0,IF($C$5&lt;=('SA Oct 2019'!T13+'SA Oct 2019'!R13+'SA Oct 2019'!P13),(($C$5-('SA Oct 2019'!R13+'SA Oct 2019'!P13))*'SA Oct 2019'!S13/100),('SA Oct 2019'!T13*'SA Oct 2019'!S13/100))),0)</f>
        <v>0</v>
      </c>
      <c r="G19" s="50">
        <v>0</v>
      </c>
      <c r="H19" s="46">
        <f>IF(AND('SA Oct 2019'!R13&gt;0,'SA Oct 2019'!T13&gt;0),IF(($C$5&lt;'SA Oct 2019'!T13),(0),($C$5-'SA Oct 2019'!T13)*'SA Oct 2019'!U13/100),IF(AND('SA Oct 2019'!R13&gt;0,'SA Oct 2019'!T13=""),IF(($C$5&lt;'SA Oct 2019'!R13+'SA Oct 2019'!P13),(0),(($C$5-('SA Oct 2019'!R13+'SA Oct 2019'!P13))*'SA Oct 2019'!S13/100)),IF(AND('SA Oct 2019'!P13&gt;0,'SA Oct 2019'!R13=""&gt;0),IF(($C$5&lt;'SA Oct 2019'!P13),(0),($C$5-'SA Oct 2019'!P13)*'SA Oct 2019'!Q13/100),0)))</f>
        <v>0</v>
      </c>
      <c r="I19" s="52">
        <f t="shared" si="2"/>
        <v>1833.6057999999998</v>
      </c>
      <c r="J19" s="109">
        <f t="shared" si="3"/>
        <v>7019.9999999999991</v>
      </c>
      <c r="K19" s="109">
        <f t="shared" si="0"/>
        <v>7334.4231999999993</v>
      </c>
      <c r="L19" s="53">
        <f t="shared" si="4"/>
        <v>8067.8655200000003</v>
      </c>
      <c r="M19" s="54">
        <f>'SA Oct 2019'!BB13</f>
        <v>0</v>
      </c>
      <c r="N19" s="54">
        <f>'SA Oct 2019'!BC13</f>
        <v>0</v>
      </c>
      <c r="O19" s="54">
        <f>'SA Oct 2019'!BD13</f>
        <v>0</v>
      </c>
      <c r="P19" s="54">
        <f>'SA Oct 2019'!BE13</f>
        <v>0</v>
      </c>
      <c r="Q19" s="110" t="str">
        <f t="shared" si="5"/>
        <v>No discount</v>
      </c>
      <c r="R19" s="73" t="str">
        <f t="shared" si="1"/>
        <v>Exclusive</v>
      </c>
      <c r="S19" s="111">
        <f t="shared" si="8"/>
        <v>7334.4231999999993</v>
      </c>
      <c r="T19" s="112">
        <f t="shared" si="9"/>
        <v>7334.4231999999993</v>
      </c>
      <c r="U19" s="97">
        <f t="shared" si="6"/>
        <v>8067.8655200000003</v>
      </c>
      <c r="V19" s="98">
        <f t="shared" si="7"/>
        <v>8067.8655200000003</v>
      </c>
      <c r="W19" s="55">
        <f>'SA Oct 2019'!BL13</f>
        <v>0</v>
      </c>
      <c r="X19" s="56" t="str">
        <f>'SA Oct 2019'!BM13</f>
        <v>N</v>
      </c>
    </row>
    <row r="20" spans="1:53" x14ac:dyDescent="0.15">
      <c r="A20" s="70" t="str">
        <f>'SA Oct 2019'!K14</f>
        <v>Blue NRG</v>
      </c>
      <c r="B20" s="49" t="str">
        <f>'SA Oct 2019'!L14</f>
        <v>Market offer</v>
      </c>
      <c r="C20" s="46">
        <f>IF('SA Oct 2019'!BP14=0,91*'SA Oct 2019'!M14/100,(91*'SA Oct 2019'!M14/100)+'SA Oct 2019'!BP14/4)</f>
        <v>109.30754545454545</v>
      </c>
      <c r="D20" s="46">
        <f>IF('SA Oct 2019'!O14="",$C$5*'SA Oct 2019'!N14/100,IF($C$5&gt;='SA Oct 2019'!P14,('SA Oct 2019'!P14*'SA Oct 2019'!N14/100),($C$5*'SA Oct 2019'!N14/100)))</f>
        <v>1839.5454545454545</v>
      </c>
      <c r="E20" s="46">
        <f>IF(AND('SA Oct 2019'!P14&gt;0,'SA Oct 2019'!R14&gt;0),IF($C$5&lt;'SA Oct 2019'!P14,0,IF($C$5&lt;=('SA Oct 2019'!R14+'SA Oct 2019'!P14),(($C$5-'SA Oct 2019'!P14)*'SA Oct 2019'!Q14/100),(('SA Oct 2019'!R14)*'SA Oct 2019'!Q14/100))),0)</f>
        <v>0</v>
      </c>
      <c r="F20" s="46">
        <f>IF(AND('SA Oct 2019'!Q14&gt;0,'SA Oct 2019'!S14&gt;0),IF($C$5&lt;('SA Oct 2019'!R14+'SA Oct 2019'!P14),0,IF($C$5&lt;=('SA Oct 2019'!T14+'SA Oct 2019'!R14+'SA Oct 2019'!P14),(($C$5-('SA Oct 2019'!R14+'SA Oct 2019'!P14))*'SA Oct 2019'!S14/100),('SA Oct 2019'!T14*'SA Oct 2019'!S14/100))),0)</f>
        <v>0</v>
      </c>
      <c r="G20" s="50">
        <v>0</v>
      </c>
      <c r="H20" s="46">
        <f>IF(AND('SA Oct 2019'!R14&gt;0,'SA Oct 2019'!T14&gt;0),IF(($C$5&lt;'SA Oct 2019'!T14),(0),($C$5-'SA Oct 2019'!T14)*'SA Oct 2019'!U14/100),IF(AND('SA Oct 2019'!R14&gt;0,'SA Oct 2019'!T14=""),IF(($C$5&lt;'SA Oct 2019'!R14+'SA Oct 2019'!P14),(0),(($C$5-('SA Oct 2019'!R14+'SA Oct 2019'!P14))*'SA Oct 2019'!S14/100)),IF(AND('SA Oct 2019'!P14&gt;0,'SA Oct 2019'!R14=""&gt;0),IF(($C$5&lt;'SA Oct 2019'!P14),(0),($C$5-'SA Oct 2019'!P14)*'SA Oct 2019'!Q14/100),0)))</f>
        <v>0</v>
      </c>
      <c r="I20" s="52">
        <f t="shared" si="2"/>
        <v>1948.8530000000001</v>
      </c>
      <c r="J20" s="109">
        <f t="shared" si="3"/>
        <v>7358.181818181818</v>
      </c>
      <c r="K20" s="109">
        <f t="shared" si="0"/>
        <v>7795.4120000000003</v>
      </c>
      <c r="L20" s="53">
        <f t="shared" si="4"/>
        <v>8574.9532000000017</v>
      </c>
      <c r="M20" s="54">
        <f>'SA Oct 2019'!BB14</f>
        <v>0</v>
      </c>
      <c r="N20" s="54">
        <f>'SA Oct 2019'!BC14</f>
        <v>0</v>
      </c>
      <c r="O20" s="54">
        <f>'SA Oct 2019'!BD14</f>
        <v>0</v>
      </c>
      <c r="P20" s="54">
        <f>'SA Oct 2019'!BE14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8"/>
        <v>7795.4120000000003</v>
      </c>
      <c r="T20" s="112">
        <f t="shared" si="9"/>
        <v>7795.4120000000003</v>
      </c>
      <c r="U20" s="97">
        <f t="shared" si="6"/>
        <v>8574.9532000000017</v>
      </c>
      <c r="V20" s="98">
        <f t="shared" si="7"/>
        <v>8574.9532000000017</v>
      </c>
      <c r="W20" s="55">
        <f>'SA Oct 2019'!BL14</f>
        <v>36</v>
      </c>
      <c r="X20" s="56" t="str">
        <f>'SA Oct 2019'!BM14</f>
        <v>n</v>
      </c>
    </row>
    <row r="21" spans="1:53" x14ac:dyDescent="0.15">
      <c r="A21" s="70" t="str">
        <f>'SA Oct 2019'!K15</f>
        <v>Powershop</v>
      </c>
      <c r="B21" s="49" t="str">
        <f>'SA Oct 2019'!L15</f>
        <v>Shopper with Mega Pack</v>
      </c>
      <c r="C21" s="46">
        <f>IF('SA Oct 2019'!BP15=0,91*'SA Oct 2019'!M15/100,(91*'SA Oct 2019'!M15/100)+'SA Oct 2019'!BP15/4)</f>
        <v>100.71880000000002</v>
      </c>
      <c r="D21" s="46">
        <f>IF('SA Oct 2019'!O15="",$C$5*'SA Oct 2019'!N15/100,IF($C$5&gt;='SA Oct 2019'!P15,('SA Oct 2019'!P15*'SA Oct 2019'!N15/100),($C$5*'SA Oct 2019'!N15/100)))</f>
        <v>1854.5000000000002</v>
      </c>
      <c r="E21" s="46">
        <f>IF(AND('SA Oct 2019'!P15&gt;0,'SA Oct 2019'!R15&gt;0),IF($C$5&lt;'SA Oct 2019'!P15,0,IF($C$5&lt;=('SA Oct 2019'!R15+'SA Oct 2019'!P15),(($C$5-'SA Oct 2019'!P15)*'SA Oct 2019'!Q15/100),(('SA Oct 2019'!R15)*'SA Oct 2019'!Q15/100))),0)</f>
        <v>0</v>
      </c>
      <c r="F21" s="46">
        <f>IF(AND('SA Oct 2019'!Q15&gt;0,'SA Oct 2019'!S15&gt;0),IF($C$5&lt;('SA Oct 2019'!R15+'SA Oct 2019'!P15),0,IF($C$5&lt;=('SA Oct 2019'!T15+'SA Oct 2019'!R15+'SA Oct 2019'!P15),(($C$5-('SA Oct 2019'!R15+'SA Oct 2019'!P15))*'SA Oct 2019'!S15/100),('SA Oct 2019'!T15*'SA Oct 2019'!S15/100))),0)</f>
        <v>0</v>
      </c>
      <c r="G21" s="50">
        <v>0</v>
      </c>
      <c r="H21" s="46">
        <f>IF(AND('SA Oct 2019'!R15&gt;0,'SA Oct 2019'!T15&gt;0),IF(($C$5&lt;'SA Oct 2019'!T15),(0),($C$5-'SA Oct 2019'!T15)*'SA Oct 2019'!U15/100),IF(AND('SA Oct 2019'!R15&gt;0,'SA Oct 2019'!T15=""),IF(($C$5&lt;'SA Oct 2019'!R15+'SA Oct 2019'!P15),(0),(($C$5-('SA Oct 2019'!R15+'SA Oct 2019'!P15))*'SA Oct 2019'!S15/100)),IF(AND('SA Oct 2019'!P15&gt;0,'SA Oct 2019'!R15=""&gt;0),IF(($C$5&lt;'SA Oct 2019'!P15),(0),($C$5-'SA Oct 2019'!P15)*'SA Oct 2019'!Q15/100),0)))</f>
        <v>0</v>
      </c>
      <c r="I21" s="52">
        <f t="shared" si="2"/>
        <v>1955.2188000000003</v>
      </c>
      <c r="J21" s="109">
        <f t="shared" si="3"/>
        <v>7418.0000000000009</v>
      </c>
      <c r="K21" s="109">
        <f t="shared" si="0"/>
        <v>7820.8752000000013</v>
      </c>
      <c r="L21" s="53">
        <f t="shared" si="4"/>
        <v>8602.9627200000014</v>
      </c>
      <c r="M21" s="54">
        <f>'SA Oct 2019'!BB15</f>
        <v>0</v>
      </c>
      <c r="N21" s="54">
        <f>'SA Oct 2019'!BC15</f>
        <v>0</v>
      </c>
      <c r="O21" s="54">
        <f>'SA Oct 2019'!BD15</f>
        <v>12</v>
      </c>
      <c r="P21" s="54">
        <f>'SA Oct 2019'!BE15</f>
        <v>0</v>
      </c>
      <c r="Q21" s="110" t="str">
        <f t="shared" si="5"/>
        <v>Pay-on-time off bill</v>
      </c>
      <c r="R21" s="73" t="str">
        <f t="shared" si="1"/>
        <v>Inclusive</v>
      </c>
      <c r="S21" s="111">
        <f t="shared" si="8"/>
        <v>7820.8752000000004</v>
      </c>
      <c r="T21" s="112">
        <f t="shared" si="9"/>
        <v>6882.3701760000004</v>
      </c>
      <c r="U21" s="97">
        <f t="shared" si="6"/>
        <v>8602.9627200000014</v>
      </c>
      <c r="V21" s="98">
        <f t="shared" si="7"/>
        <v>7570.6071936000008</v>
      </c>
      <c r="W21" s="55">
        <f>'SA Oct 2019'!BL15</f>
        <v>0</v>
      </c>
      <c r="X21" s="56" t="str">
        <f>'SA Oct 2019'!BM15</f>
        <v>n</v>
      </c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</row>
    <row r="22" spans="1:53" x14ac:dyDescent="0.15">
      <c r="A22" s="70" t="str">
        <f>'SA Oct 2019'!K16</f>
        <v>Amaysim</v>
      </c>
      <c r="B22" s="73" t="str">
        <f>'SA Oct 2019'!L16</f>
        <v>Business as you go</v>
      </c>
      <c r="C22" s="46">
        <f>IF('SA Oct 2019'!BP16=0,91*'SA Oct 2019'!M16/100,(91*'SA Oct 2019'!M16/100)+'SA Oct 2019'!BP16/4)</f>
        <v>58.558499999999995</v>
      </c>
      <c r="D22" s="46">
        <f>IF('SA Oct 2019'!O16="",$C$5*'SA Oct 2019'!N16/100,IF($C$5&gt;='SA Oct 2019'!P16,('SA Oct 2019'!P16*'SA Oct 2019'!N16/100),($C$5*'SA Oct 2019'!N16/100)))</f>
        <v>1794</v>
      </c>
      <c r="E22" s="46">
        <f>IF(AND('SA Oct 2019'!P16&gt;0,'SA Oct 2019'!R16&gt;0),IF($C$5&lt;'SA Oct 2019'!P16,0,IF($C$5&lt;=('SA Oct 2019'!R16+'SA Oct 2019'!P16),(($C$5-'SA Oct 2019'!P16)*'SA Oct 2019'!Q16/100),(('SA Oct 2019'!R16)*'SA Oct 2019'!Q16/100))),0)</f>
        <v>0</v>
      </c>
      <c r="F22" s="46">
        <f>IF(AND('SA Oct 2019'!Q16&gt;0,'SA Oct 2019'!S16&gt;0),IF($C$5&lt;('SA Oct 2019'!R16+'SA Oct 2019'!P16),0,IF($C$5&lt;=('SA Oct 2019'!T16+'SA Oct 2019'!R16+'SA Oct 2019'!P16),(($C$5-('SA Oct 2019'!R16+'SA Oct 2019'!P16))*'SA Oct 2019'!S16/100),('SA Oct 2019'!T16*'SA Oct 2019'!S16/100))),0)</f>
        <v>0</v>
      </c>
      <c r="G22" s="50">
        <v>0</v>
      </c>
      <c r="H22" s="46">
        <f>IF(AND('SA Oct 2019'!R16&gt;0,'SA Oct 2019'!T16&gt;0),IF(($C$5&lt;'SA Oct 2019'!T16),(0),($C$5-'SA Oct 2019'!T16)*'SA Oct 2019'!U16/100),IF(AND('SA Oct 2019'!R16&gt;0,'SA Oct 2019'!T16=""),IF(($C$5&lt;'SA Oct 2019'!R16+'SA Oct 2019'!P16),(0),(($C$5-('SA Oct 2019'!R16+'SA Oct 2019'!P16))*'SA Oct 2019'!S16/100)),IF(AND('SA Oct 2019'!P16&gt;0,'SA Oct 2019'!R16=""&gt;0),IF(($C$5&lt;'SA Oct 2019'!P16),(0),($C$5-'SA Oct 2019'!P16)*'SA Oct 2019'!Q16/100),0)))</f>
        <v>0</v>
      </c>
      <c r="I22" s="52">
        <f t="shared" si="2"/>
        <v>1852.5585000000001</v>
      </c>
      <c r="J22" s="111">
        <f t="shared" si="3"/>
        <v>7176</v>
      </c>
      <c r="K22" s="112">
        <f t="shared" si="0"/>
        <v>7410.2340000000004</v>
      </c>
      <c r="L22" s="53">
        <f t="shared" si="4"/>
        <v>8151.2574000000013</v>
      </c>
      <c r="M22" s="54">
        <f>'SA Oct 2019'!BB16</f>
        <v>0</v>
      </c>
      <c r="N22" s="54">
        <f>'SA Oct 2019'!BC16</f>
        <v>0</v>
      </c>
      <c r="O22" s="54">
        <f>'SA Oct 2019'!BD16</f>
        <v>0</v>
      </c>
      <c r="P22" s="54">
        <f>'SA Oct 2019'!BE16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8"/>
        <v>7410.2340000000004</v>
      </c>
      <c r="T22" s="112">
        <f t="shared" si="9"/>
        <v>7410.2340000000004</v>
      </c>
      <c r="U22" s="97">
        <f t="shared" si="6"/>
        <v>8151.2574000000013</v>
      </c>
      <c r="V22" s="98">
        <f t="shared" si="7"/>
        <v>8151.2574000000013</v>
      </c>
      <c r="W22" s="55">
        <f>'SA Oct 2019'!BL16</f>
        <v>0</v>
      </c>
      <c r="X22" s="56" t="str">
        <f>'SA Oct 2019'!BM16</f>
        <v>n</v>
      </c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</row>
    <row r="23" spans="1:53" ht="15" thickBot="1" x14ac:dyDescent="0.2">
      <c r="A23" s="71" t="str">
        <f>'SA Oct 2019'!K17</f>
        <v>Powerclub</v>
      </c>
      <c r="B23" s="72" t="str">
        <f>'SA Oct 2019'!L17</f>
        <v>Powerbank Business</v>
      </c>
      <c r="C23" s="58">
        <f>IF('SA Oct 2019'!BP17=0,91*'SA Oct 2019'!M17/100,(91*'SA Oct 2019'!M17/100)+'SA Oct 2019'!BP17/4)</f>
        <v>105.00018136363634</v>
      </c>
      <c r="D23" s="58">
        <f>IF('SA Oct 2019'!O17="",$C$5*'SA Oct 2019'!N17/100,IF($C$5&gt;='SA Oct 2019'!P17,('SA Oct 2019'!P17*'SA Oct 2019'!N17/100),($C$5*'SA Oct 2019'!N17/100)))</f>
        <v>1454.9999999999998</v>
      </c>
      <c r="E23" s="58">
        <f>IF(AND('SA Oct 2019'!P17&gt;0,'SA Oct 2019'!R17&gt;0),IF($C$5&lt;'SA Oct 2019'!P17,0,IF($C$5&lt;=('SA Oct 2019'!R17+'SA Oct 2019'!P17),(($C$5-'SA Oct 2019'!P17)*'SA Oct 2019'!Q17/100),(('SA Oct 2019'!R17)*'SA Oct 2019'!Q17/100))),0)</f>
        <v>0</v>
      </c>
      <c r="F23" s="58">
        <f>IF(AND('SA Oct 2019'!Q17&gt;0,'SA Oct 2019'!S17&gt;0),IF($C$5&lt;('SA Oct 2019'!R17+'SA Oct 2019'!P17),0,IF($C$5&lt;=('SA Oct 2019'!T17+'SA Oct 2019'!R17+'SA Oct 2019'!P17),(($C$5-('SA Oct 2019'!R17+'SA Oct 2019'!P17))*'SA Oct 2019'!S17/100),('SA Oct 2019'!T17*'SA Oct 2019'!S17/100))),0)</f>
        <v>0</v>
      </c>
      <c r="G23" s="59">
        <v>0</v>
      </c>
      <c r="H23" s="58">
        <f>IF(AND('SA Oct 2019'!R17&gt;0,'SA Oct 2019'!T17&gt;0),IF(($C$5&lt;'SA Oct 2019'!T17),(0),($C$5-'SA Oct 2019'!T17)*'SA Oct 2019'!U17/100),IF(AND('SA Oct 2019'!R17&gt;0,'SA Oct 2019'!T17=""),IF(($C$5&lt;'SA Oct 2019'!R17+'SA Oct 2019'!P17),(0),(($C$5-('SA Oct 2019'!R17+'SA Oct 2019'!P17))*'SA Oct 2019'!S17/100)),IF(AND('SA Oct 2019'!P17&gt;0,'SA Oct 2019'!R17=""&gt;0),IF(($C$5&lt;'SA Oct 2019'!P17),(0),($C$5-'SA Oct 2019'!P17)*'SA Oct 2019'!Q17/100),0)))</f>
        <v>0</v>
      </c>
      <c r="I23" s="61">
        <f t="shared" si="2"/>
        <v>1560.0001813636361</v>
      </c>
      <c r="J23" s="113">
        <f t="shared" si="3"/>
        <v>5819.9999999999991</v>
      </c>
      <c r="K23" s="114">
        <f t="shared" si="0"/>
        <v>6240.0007254545444</v>
      </c>
      <c r="L23" s="62">
        <f t="shared" si="4"/>
        <v>6864.0007979999991</v>
      </c>
      <c r="M23" s="63">
        <f>'SA Oct 2019'!BB17</f>
        <v>0</v>
      </c>
      <c r="N23" s="63">
        <f>'SA Oct 2019'!BC17</f>
        <v>0</v>
      </c>
      <c r="O23" s="63">
        <f>'SA Oct 2019'!BD17</f>
        <v>0</v>
      </c>
      <c r="P23" s="63">
        <f>'SA Oct 2019'!BE17</f>
        <v>0</v>
      </c>
      <c r="Q23" s="115" t="str">
        <f t="shared" si="5"/>
        <v>No discount</v>
      </c>
      <c r="R23" s="72" t="str">
        <f t="shared" si="1"/>
        <v>Exclusive</v>
      </c>
      <c r="S23" s="113">
        <f t="shared" si="8"/>
        <v>6240.0007254545444</v>
      </c>
      <c r="T23" s="114">
        <f t="shared" si="9"/>
        <v>6240.0007254545444</v>
      </c>
      <c r="U23" s="99">
        <f t="shared" si="6"/>
        <v>6864.0007979999991</v>
      </c>
      <c r="V23" s="100">
        <f t="shared" si="7"/>
        <v>6864.0007979999991</v>
      </c>
      <c r="W23" s="64">
        <f>'SA Oct 2019'!BL17</f>
        <v>0</v>
      </c>
      <c r="X23" s="65">
        <f>'SA Oct 2019'!BM17</f>
        <v>0</v>
      </c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</row>
    <row r="24" spans="1:53" x14ac:dyDescent="0.15">
      <c r="G24" s="85"/>
      <c r="H24" s="85"/>
      <c r="I24" s="86"/>
      <c r="J24" s="86"/>
    </row>
    <row r="25" spans="1:53" ht="15" thickBot="1" x14ac:dyDescent="0.2">
      <c r="D25" s="85"/>
      <c r="E25" s="85"/>
      <c r="F25" s="85"/>
      <c r="G25" s="85"/>
      <c r="H25" s="85"/>
      <c r="I25" s="86"/>
      <c r="J25" s="86"/>
    </row>
    <row r="26" spans="1:53" x14ac:dyDescent="0.15">
      <c r="A26" s="36" t="s">
        <v>84</v>
      </c>
      <c r="B26" s="37"/>
      <c r="C26" s="37"/>
      <c r="D26" s="42"/>
      <c r="E26" s="42"/>
      <c r="F26" s="42"/>
      <c r="G26" s="42"/>
      <c r="H26" s="42"/>
      <c r="I26" s="43"/>
      <c r="J26" s="43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9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</row>
    <row r="27" spans="1:53" x14ac:dyDescent="0.15">
      <c r="A27" s="40" t="s">
        <v>197</v>
      </c>
      <c r="B27" s="38"/>
      <c r="C27" s="47">
        <v>5000</v>
      </c>
      <c r="D27" s="44"/>
      <c r="E27" s="44"/>
      <c r="F27" s="44"/>
      <c r="G27" s="44"/>
      <c r="H27" s="44"/>
      <c r="I27" s="45"/>
      <c r="J27" s="45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41"/>
    </row>
    <row r="28" spans="1:53" x14ac:dyDescent="0.15">
      <c r="A28" s="40" t="s">
        <v>85</v>
      </c>
      <c r="B28" s="38"/>
      <c r="C28" s="48">
        <v>0.7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41"/>
    </row>
    <row r="29" spans="1:53" x14ac:dyDescent="0.15">
      <c r="A29" s="40" t="s">
        <v>171</v>
      </c>
      <c r="B29" s="38"/>
      <c r="C29" s="48">
        <v>0.3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41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</row>
    <row r="30" spans="1:53" x14ac:dyDescent="0.15">
      <c r="A30" s="40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88"/>
      <c r="S30" s="88"/>
      <c r="T30" s="88"/>
      <c r="U30" s="88"/>
      <c r="V30" s="38"/>
      <c r="W30" s="38"/>
      <c r="X30" s="41"/>
    </row>
    <row r="31" spans="1:53" ht="75" x14ac:dyDescent="0.15">
      <c r="A31" s="271" t="s">
        <v>216</v>
      </c>
      <c r="B31" s="274" t="s">
        <v>198</v>
      </c>
      <c r="C31" s="274" t="s">
        <v>199</v>
      </c>
      <c r="D31" s="274" t="s">
        <v>200</v>
      </c>
      <c r="E31" s="274" t="s">
        <v>201</v>
      </c>
      <c r="F31" s="274" t="s">
        <v>164</v>
      </c>
      <c r="G31" s="274" t="s">
        <v>84</v>
      </c>
      <c r="H31" s="274" t="s">
        <v>233</v>
      </c>
      <c r="I31" s="274" t="s">
        <v>165</v>
      </c>
      <c r="J31" s="275" t="s">
        <v>544</v>
      </c>
      <c r="K31" s="276" t="s">
        <v>166</v>
      </c>
      <c r="L31" s="277" t="s">
        <v>545</v>
      </c>
      <c r="M31" s="278" t="s">
        <v>167</v>
      </c>
      <c r="N31" s="278" t="s">
        <v>168</v>
      </c>
      <c r="O31" s="278" t="s">
        <v>169</v>
      </c>
      <c r="P31" s="278" t="s">
        <v>170</v>
      </c>
      <c r="Q31" s="279" t="s">
        <v>541</v>
      </c>
      <c r="R31" s="279" t="s">
        <v>542</v>
      </c>
      <c r="S31" s="280" t="s">
        <v>546</v>
      </c>
      <c r="T31" s="280" t="s">
        <v>547</v>
      </c>
      <c r="U31" s="281" t="s">
        <v>227</v>
      </c>
      <c r="V31" s="281" t="s">
        <v>272</v>
      </c>
      <c r="W31" s="278" t="s">
        <v>82</v>
      </c>
      <c r="X31" s="282" t="s">
        <v>83</v>
      </c>
    </row>
    <row r="32" spans="1:53" x14ac:dyDescent="0.15">
      <c r="A32" s="70" t="str">
        <f>'SA Oct 2019'!K18</f>
        <v>AGL</v>
      </c>
      <c r="B32" s="49" t="str">
        <f>'SA Oct 2019'!L18</f>
        <v>Business Essentials</v>
      </c>
      <c r="C32" s="46">
        <f>IF('SA Oct 2019'!BP18=0,91*'SA Oct 2019'!M18/100,(91*'SA Oct 2019'!M18/100)+'SA Oct 2019'!BP18/4)</f>
        <v>71.269545454545451</v>
      </c>
      <c r="D32" s="46">
        <f>IF('SA Oct 2019'!O18="",$C$27*$C$28*'SA Oct 2019'!N18/100,IF($C$27*$C$28&gt;='SA Oct 2019'!P18,('SA Oct 2019'!P18*'SA Oct 2019'!N18/100),($C$27*$C$28*'SA Oct 2019'!N18/100)))</f>
        <v>1226.272727272727</v>
      </c>
      <c r="E32" s="46">
        <f>IF(AND('SA Oct 2019'!P18&gt;0,'SA Oct 2019'!R18&gt;0),IF($C$27*$C$28&lt;'SA Oct 2019'!P18,0,IF($C$27*$C$28&lt;=('SA Oct 2019'!R18+'SA Oct 2019'!P18),(($C$27*$C$28-'SA Oct 2019'!P18)*'SA Oct 2019'!Q18/100),(('SA Oct 2019'!R18)*'SA Oct 2019'!Q18/100))),0)</f>
        <v>0</v>
      </c>
      <c r="F32" s="46">
        <f>IF(AND('SA Oct 2019'!R18&gt;0,'SA Oct 2019'!T18&gt;0),IF(($C$27*$C$28&lt;'SA Oct 2019'!T18),(0),($C$27*$C$28-'SA Oct 2019'!T18)*'SA Oct 2019'!U18/100),IF(AND('SA Oct 2019'!R18&gt;0,'SA Oct 2019'!T18=""),IF(($C$27*$C$28&lt;'SA Oct 2019'!R18+'SA Oct 2019'!P18),(0),(($C$27*$C$28-('SA Oct 2019'!R18+'SA Oct 2019'!P18))*'SA Oct 2019'!S18/100)),IF(AND('SA Oct 2019'!P18&gt;0,'SA Oct 2019'!R18=""&gt;0),IF(($C$27*$C$28&lt;'SA Oct 2019'!P18),(0),($C$27*$C$28-'SA Oct 2019'!P18)*'SA Oct 2019'!Q18/100),0)))</f>
        <v>0</v>
      </c>
      <c r="G32" s="50">
        <f>($C$27*$C$29)*'SA Oct 2019'!AF18/100</f>
        <v>265.36363636363637</v>
      </c>
      <c r="H32" s="51">
        <v>0</v>
      </c>
      <c r="I32" s="52">
        <f t="shared" ref="I32:I45" si="10">SUM(C32:G32)</f>
        <v>1562.9059090909091</v>
      </c>
      <c r="J32" s="109">
        <f>(I32-C32)*4</f>
        <v>5966.545454545454</v>
      </c>
      <c r="K32" s="109">
        <f t="shared" ref="K32:K45" si="11">I32*4</f>
        <v>6251.6236363636363</v>
      </c>
      <c r="L32" s="53">
        <f t="shared" ref="L32:L45" si="12">K32*1.1</f>
        <v>6876.7860000000001</v>
      </c>
      <c r="M32" s="54">
        <f>'SA Oct 2019'!BB18</f>
        <v>0</v>
      </c>
      <c r="N32" s="54">
        <f>'SA Oct 2019'!BC18</f>
        <v>0</v>
      </c>
      <c r="O32" s="54">
        <f>'SA Oct 2019'!BD18</f>
        <v>0</v>
      </c>
      <c r="P32" s="54">
        <f>'SA Oct 2019'!BE18</f>
        <v>0</v>
      </c>
      <c r="Q32" s="110" t="str">
        <f t="shared" ref="Q32:Q38" si="13">IF(SUM(M32:P32)=0,"No discount",IF(M32&gt;0,"Guaranteed off bill",IF(N32&gt;0,"Guaranteed off usage",IF(O32&gt;0,"Pay-on-time off bill","Pay-on-time off usage"))))</f>
        <v>No discount</v>
      </c>
      <c r="R32" s="73" t="str">
        <f t="shared" ref="R32:R38" si="14">IF(OR(A32="Origin Energy",A32="Red Energy",A32="Powershop"),"Inclusive","Exclusive")</f>
        <v>Exclusive</v>
      </c>
      <c r="S32" s="111">
        <f>IF(AND(Q32="Guaranteed off bill",R32="Inclusive"),((K32*1.1)-((K32*1.1)*M32/100))/1.1,IF(AND(Q32="Guaranteed off usage",R32="Inclusive"),((K32*1.1)-((J32*1.1)*N32/100))/1.1,IF(AND(Q32="Guaranteed off bill",R32="Exclusive"),K32-(K32*M32/100),IF(AND(Q32="Guaranteed off usage",R32="Exclusive"),K32-(J32*N32/100),IF(R32="Inclusive",((K32*1.1))/1.1,K32)))))</f>
        <v>6251.6236363636363</v>
      </c>
      <c r="T32" s="112">
        <f>IF(AND(Q32="Pay-on-time off bill",R32="Inclusive"),((S32*1.1)-((S32*1.1)*O32/100))/1.1,IF(AND(Q32="Pay-on-time off usage",R32="Inclusive"),((S32*1.1)-((J32*1.1)*P32/100))/1.1,IF(AND(Q32="Pay-on-time off bill",R32="Exclusive"),S32-(S32*O32/100),IF(AND(Q32="Pay-on-time off usage",R32="Exclusive"),S32-(J32*P32/100),IF(R32="Inclusive",((S32*1.1))/1.1,S32)))))</f>
        <v>6251.6236363636363</v>
      </c>
      <c r="U32" s="97">
        <f>S32*1.1</f>
        <v>6876.7860000000001</v>
      </c>
      <c r="V32" s="98">
        <f>T32*1.1</f>
        <v>6876.7860000000001</v>
      </c>
      <c r="W32" s="55">
        <f>'SA Oct 2019'!BL18</f>
        <v>0</v>
      </c>
      <c r="X32" s="56" t="str">
        <f>'SA Oct 2019'!BM18</f>
        <v>n</v>
      </c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</row>
    <row r="33" spans="1:53" x14ac:dyDescent="0.15">
      <c r="A33" s="70" t="str">
        <f>'SA Oct 2019'!K19</f>
        <v>Alinta Energy</v>
      </c>
      <c r="B33" s="49" t="str">
        <f>'SA Oct 2019'!L19</f>
        <v>Business Advantage</v>
      </c>
      <c r="C33" s="46">
        <f>IF('SA Oct 2019'!BP19=0,91*'SA Oct 2019'!M19/100,(91*'SA Oct 2019'!M19/100)+'SA Oct 2019'!BP19/4)</f>
        <v>82.355000000000004</v>
      </c>
      <c r="D33" s="46">
        <f>IF('SA Oct 2019'!O19="",$C$27*$C$28*'SA Oct 2019'!N19/100,IF($C$27*$C$28&gt;='SA Oct 2019'!P19,('SA Oct 2019'!P19*'SA Oct 2019'!N19/100),($C$27*$C$28*'SA Oct 2019'!N19/100)))</f>
        <v>1189.0454545454545</v>
      </c>
      <c r="E33" s="46">
        <f>IF(AND('SA Oct 2019'!P19&gt;0,'SA Oct 2019'!R19&gt;0),IF($C$27*$C$28&lt;'SA Oct 2019'!P19,0,IF($C$27*$C$28&lt;=('SA Oct 2019'!R19+'SA Oct 2019'!P19),(($C$27*$C$28-'SA Oct 2019'!P19)*'SA Oct 2019'!Q19/100),(('SA Oct 2019'!R19)*'SA Oct 2019'!Q19/100))),0)</f>
        <v>0</v>
      </c>
      <c r="F33" s="46">
        <f>IF(AND('SA Oct 2019'!R19&gt;0,'SA Oct 2019'!T19&gt;0),IF(($C$27*$C$28&lt;'SA Oct 2019'!T19),(0),($C$27*$C$28-'SA Oct 2019'!T19)*'SA Oct 2019'!U19/100),IF(AND('SA Oct 2019'!R19&gt;0,'SA Oct 2019'!T19=""),IF(($C$27*$C$28&lt;'SA Oct 2019'!R19+'SA Oct 2019'!P19),(0),(($C$27*$C$28-('SA Oct 2019'!R19+'SA Oct 2019'!P19))*'SA Oct 2019'!S19/100)),IF(AND('SA Oct 2019'!P19&gt;0,'SA Oct 2019'!R19=""&gt;0),IF(($C$27*$C$28&lt;'SA Oct 2019'!P19),(0),($C$27*$C$28-'SA Oct 2019'!P19)*'SA Oct 2019'!Q19/100),0)))</f>
        <v>0</v>
      </c>
      <c r="G33" s="50">
        <f>($C$27*$C$29)*'SA Oct 2019'!AF19/100</f>
        <v>232.6363636363636</v>
      </c>
      <c r="H33" s="51">
        <f>IF($C$27*$C$29&lt;'SA Oct 2019'!AG19,(0),((('SA Bills October 2019'!$C$27*'SA Bills October 2019'!$C$29)-('SA Oct 2019'!AG19))*'SA Oct 2019'!AH19/100))</f>
        <v>0</v>
      </c>
      <c r="I33" s="52">
        <f t="shared" si="10"/>
        <v>1504.036818181818</v>
      </c>
      <c r="J33" s="109">
        <f t="shared" ref="J33:J45" si="15">(I33-C33)*4</f>
        <v>5686.7272727272721</v>
      </c>
      <c r="K33" s="109">
        <f t="shared" si="11"/>
        <v>6016.1472727272721</v>
      </c>
      <c r="L33" s="53">
        <f t="shared" si="12"/>
        <v>6617.7619999999997</v>
      </c>
      <c r="M33" s="54">
        <f>'SA Oct 2019'!BB19</f>
        <v>0</v>
      </c>
      <c r="N33" s="54">
        <f>'SA Oct 2019'!BC19</f>
        <v>0</v>
      </c>
      <c r="O33" s="54">
        <f>'SA Oct 2019'!BD19</f>
        <v>0</v>
      </c>
      <c r="P33" s="54">
        <f>'SA Oct 2019'!BE19</f>
        <v>0</v>
      </c>
      <c r="Q33" s="110" t="str">
        <f t="shared" si="13"/>
        <v>No discount</v>
      </c>
      <c r="R33" s="73" t="str">
        <f t="shared" si="14"/>
        <v>Exclusive</v>
      </c>
      <c r="S33" s="111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6016.1472727272721</v>
      </c>
      <c r="T33" s="112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6016.1472727272721</v>
      </c>
      <c r="U33" s="97">
        <f t="shared" ref="U33:U45" si="16">S33*1.1</f>
        <v>6617.7619999999997</v>
      </c>
      <c r="V33" s="98">
        <f t="shared" ref="V33:V45" si="17">T33*1.1</f>
        <v>6617.7619999999997</v>
      </c>
      <c r="W33" s="55">
        <f>'SA Oct 2019'!BL19</f>
        <v>0</v>
      </c>
      <c r="X33" s="56" t="str">
        <f>'SA Oct 2019'!BM19</f>
        <v>n</v>
      </c>
    </row>
    <row r="34" spans="1:53" x14ac:dyDescent="0.15">
      <c r="A34" s="70" t="str">
        <f>'SA Oct 2019'!K20</f>
        <v>Click Energy</v>
      </c>
      <c r="B34" s="49" t="str">
        <f>'SA Oct 2019'!L20</f>
        <v>Click Business Start</v>
      </c>
      <c r="C34" s="46">
        <f>IF('SA Oct 2019'!BP20=0,91*'SA Oct 2019'!M20/100,(91*'SA Oct 2019'!M20/100)+'SA Oct 2019'!BP20/4)</f>
        <v>64.48590909090909</v>
      </c>
      <c r="D34" s="46">
        <f>IF('SA Oct 2019'!O20="",$C$27*$C$28*'SA Oct 2019'!N20/100,IF($C$27*$C$28&gt;='SA Oct 2019'!P20,('SA Oct 2019'!P20*'SA Oct 2019'!N20/100),($C$27*$C$28*'SA Oct 2019'!N20/100)))</f>
        <v>1202.409090909091</v>
      </c>
      <c r="E34" s="46">
        <f>IF(AND('SA Oct 2019'!P20&gt;0,'SA Oct 2019'!R20&gt;0),IF($C$27*$C$28&lt;'SA Oct 2019'!P20,0,IF($C$27*$C$28&lt;=('SA Oct 2019'!R20+'SA Oct 2019'!P20),(($C$27*$C$28-'SA Oct 2019'!P20)*'SA Oct 2019'!Q20/100),(('SA Oct 2019'!R20)*'SA Oct 2019'!Q20/100))),0)</f>
        <v>0</v>
      </c>
      <c r="F34" s="46">
        <f>IF(AND('SA Oct 2019'!R20&gt;0,'SA Oct 2019'!T20&gt;0),IF(($C$27*$C$28&lt;'SA Oct 2019'!T20),(0),($C$27*$C$28-'SA Oct 2019'!T20)*'SA Oct 2019'!U20/100),IF(AND('SA Oct 2019'!R20&gt;0,'SA Oct 2019'!T20=""),IF(($C$27*$C$28&lt;'SA Oct 2019'!R20+'SA Oct 2019'!P20),(0),(($C$27*$C$28-('SA Oct 2019'!R20+'SA Oct 2019'!P20))*'SA Oct 2019'!S20/100)),IF(AND('SA Oct 2019'!P20&gt;0,'SA Oct 2019'!R20=""&gt;0),IF(($C$27*$C$28&lt;'SA Oct 2019'!P20),(0),($C$27*$C$28-'SA Oct 2019'!P20)*'SA Oct 2019'!Q20/100),0)))</f>
        <v>0</v>
      </c>
      <c r="G34" s="50">
        <f>($C$27*$C$29)*'SA Oct 2019'!AF20/100</f>
        <v>261.13636363636363</v>
      </c>
      <c r="H34" s="51">
        <v>0</v>
      </c>
      <c r="I34" s="52">
        <f t="shared" si="10"/>
        <v>1528.0313636363635</v>
      </c>
      <c r="J34" s="109">
        <f t="shared" si="15"/>
        <v>5854.181818181818</v>
      </c>
      <c r="K34" s="109">
        <f t="shared" si="11"/>
        <v>6112.125454545454</v>
      </c>
      <c r="L34" s="53">
        <f t="shared" si="12"/>
        <v>6723.3379999999997</v>
      </c>
      <c r="M34" s="54">
        <f>'SA Oct 2019'!BB20</f>
        <v>0</v>
      </c>
      <c r="N34" s="54">
        <f>'SA Oct 2019'!BC20</f>
        <v>0</v>
      </c>
      <c r="O34" s="54">
        <f>'SA Oct 2019'!BD20</f>
        <v>0</v>
      </c>
      <c r="P34" s="54">
        <f>'SA Oct 2019'!BE20</f>
        <v>0</v>
      </c>
      <c r="Q34" s="110" t="str">
        <f t="shared" si="13"/>
        <v>No discount</v>
      </c>
      <c r="R34" s="73" t="str">
        <f t="shared" si="14"/>
        <v>Exclusive</v>
      </c>
      <c r="S34" s="111">
        <f t="shared" ref="S34:S44" si="18"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6112.125454545454</v>
      </c>
      <c r="T34" s="112">
        <f t="shared" ref="T34:T44" si="19"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6112.125454545454</v>
      </c>
      <c r="U34" s="97">
        <f t="shared" si="16"/>
        <v>6723.3379999999997</v>
      </c>
      <c r="V34" s="98">
        <f t="shared" si="17"/>
        <v>6723.3379999999997</v>
      </c>
      <c r="W34" s="55">
        <f>'SA Oct 2019'!BL20</f>
        <v>0</v>
      </c>
      <c r="X34" s="56" t="str">
        <f>'SA Oct 2019'!BM20</f>
        <v>n</v>
      </c>
    </row>
    <row r="35" spans="1:53" x14ac:dyDescent="0.15">
      <c r="A35" s="70" t="str">
        <f>'SA Oct 2019'!K21</f>
        <v>Commander</v>
      </c>
      <c r="B35" s="49" t="str">
        <f>'SA Oct 2019'!L21</f>
        <v>Market offer</v>
      </c>
      <c r="C35" s="46">
        <f>IF('SA Oct 2019'!BP21=0,91*'SA Oct 2019'!M21/100,(91*'SA Oct 2019'!M21/100)+'SA Oct 2019'!BP21/4)</f>
        <v>87.053909090909087</v>
      </c>
      <c r="D35" s="46">
        <f>IF('SA Oct 2019'!O21="",$C$27*$C$28*'SA Oct 2019'!N21/100,IF($C$27*$C$28&gt;='SA Oct 2019'!P21,('SA Oct 2019'!P21*'SA Oct 2019'!N21/100),($C$27*$C$28*'SA Oct 2019'!N21/100)))</f>
        <v>1181.409090909091</v>
      </c>
      <c r="E35" s="46">
        <f>IF(AND('SA Oct 2019'!P21&gt;0,'SA Oct 2019'!R21&gt;0),IF($C$27*$C$28&lt;'SA Oct 2019'!P21,0,IF($C$27*$C$28&lt;=('SA Oct 2019'!R21+'SA Oct 2019'!P21),(($C$27*$C$28-'SA Oct 2019'!P21)*'SA Oct 2019'!Q21/100),(('SA Oct 2019'!R21)*'SA Oct 2019'!Q21/100))),0)</f>
        <v>0</v>
      </c>
      <c r="F35" s="46">
        <f>IF(AND('SA Oct 2019'!R21&gt;0,'SA Oct 2019'!T21&gt;0),IF(($C$27*$C$28&lt;'SA Oct 2019'!T21),(0),($C$27*$C$28-'SA Oct 2019'!T21)*'SA Oct 2019'!U21/100),IF(AND('SA Oct 2019'!R21&gt;0,'SA Oct 2019'!T21=""),IF(($C$27*$C$28&lt;'SA Oct 2019'!R21+'SA Oct 2019'!P21),(0),(($C$27*$C$28-('SA Oct 2019'!R21+'SA Oct 2019'!P21))*'SA Oct 2019'!S21/100)),IF(AND('SA Oct 2019'!P21&gt;0,'SA Oct 2019'!R21=""&gt;0),IF(($C$27*$C$28&lt;'SA Oct 2019'!P21),(0),($C$27*$C$28-'SA Oct 2019'!P21)*'SA Oct 2019'!Q21/100),0)))</f>
        <v>0</v>
      </c>
      <c r="G35" s="50">
        <f>($C$27*$C$29)*'SA Oct 2019'!AF21/100</f>
        <v>308.45454545454544</v>
      </c>
      <c r="H35" s="51">
        <v>0</v>
      </c>
      <c r="I35" s="52">
        <f t="shared" si="10"/>
        <v>1576.9175454545457</v>
      </c>
      <c r="J35" s="109">
        <f t="shared" si="15"/>
        <v>5959.454545454546</v>
      </c>
      <c r="K35" s="109">
        <f t="shared" si="11"/>
        <v>6307.6701818181828</v>
      </c>
      <c r="L35" s="53">
        <f t="shared" si="12"/>
        <v>6938.4372000000012</v>
      </c>
      <c r="M35" s="54">
        <f>'SA Oct 2019'!BB21</f>
        <v>0</v>
      </c>
      <c r="N35" s="54">
        <f>'SA Oct 2019'!BC21</f>
        <v>0</v>
      </c>
      <c r="O35" s="54">
        <f>'SA Oct 2019'!BD21</f>
        <v>0</v>
      </c>
      <c r="P35" s="54">
        <f>'SA Oct 2019'!BE21</f>
        <v>0</v>
      </c>
      <c r="Q35" s="110" t="str">
        <f t="shared" si="13"/>
        <v>No discount</v>
      </c>
      <c r="R35" s="73" t="str">
        <f t="shared" si="14"/>
        <v>Exclusive</v>
      </c>
      <c r="S35" s="111">
        <f t="shared" si="18"/>
        <v>6307.6701818181828</v>
      </c>
      <c r="T35" s="112">
        <f t="shared" si="19"/>
        <v>6307.6701818181828</v>
      </c>
      <c r="U35" s="97">
        <f t="shared" si="16"/>
        <v>6938.4372000000012</v>
      </c>
      <c r="V35" s="98">
        <f t="shared" si="17"/>
        <v>6938.4372000000012</v>
      </c>
      <c r="W35" s="55">
        <f>'SA Oct 2019'!BL21</f>
        <v>0</v>
      </c>
      <c r="X35" s="56" t="str">
        <f>'SA Oct 2019'!BM21</f>
        <v>n</v>
      </c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</row>
    <row r="36" spans="1:53" x14ac:dyDescent="0.15">
      <c r="A36" s="70" t="str">
        <f>'SA Oct 2019'!K22</f>
        <v>Diamond Energy</v>
      </c>
      <c r="B36" s="49" t="str">
        <f>'SA Oct 2019'!L22</f>
        <v>Renewable Saver POT</v>
      </c>
      <c r="C36" s="46">
        <f>IF('SA Oct 2019'!BP22=0,91*'SA Oct 2019'!M22/100,(91*'SA Oct 2019'!M22/100)+'SA Oct 2019'!BP22/4)</f>
        <v>90.545000000000002</v>
      </c>
      <c r="D36" s="46">
        <f>IF('SA Oct 2019'!O22="",$C$27*$C$28*'SA Oct 2019'!N22/100,IF($C$27*$C$28&gt;='SA Oct 2019'!P22,('SA Oct 2019'!P22*'SA Oct 2019'!N22/100),($C$27*$C$28*'SA Oct 2019'!N22/100)))</f>
        <v>375.54545454545456</v>
      </c>
      <c r="E36" s="46">
        <f>IF(AND('SA Oct 2019'!P22&gt;0,'SA Oct 2019'!R22&gt;0),IF($C$27*$C$28&lt;'SA Oct 2019'!P22,0,IF($C$27*$C$28&lt;=('SA Oct 2019'!R22+'SA Oct 2019'!P22),(($C$27*$C$28-'SA Oct 2019'!P22)*'SA Oct 2019'!Q22/100),(('SA Oct 2019'!R22)*'SA Oct 2019'!Q22/100))),0)</f>
        <v>0</v>
      </c>
      <c r="F36" s="46">
        <f>IF(AND('SA Oct 2019'!R22&gt;0,'SA Oct 2019'!T22&gt;0),IF(($C$27*$C$28&lt;'SA Oct 2019'!T22),(0),($C$27*$C$28-'SA Oct 2019'!T22)*'SA Oct 2019'!U22/100),IF(AND('SA Oct 2019'!R22&gt;0,'SA Oct 2019'!T22=""),IF(($C$27*$C$28&lt;'SA Oct 2019'!R22+'SA Oct 2019'!P22),(0),(($C$27*$C$28-('SA Oct 2019'!R22+'SA Oct 2019'!P22))*'SA Oct 2019'!S22/100)),IF(AND('SA Oct 2019'!P22&gt;0,'SA Oct 2019'!R22=""&gt;0),IF(($C$27*$C$28&lt;'SA Oct 2019'!P22),(0),($C$27*$C$28-'SA Oct 2019'!P22)*'SA Oct 2019'!Q22/100),0)))</f>
        <v>998.86363636363637</v>
      </c>
      <c r="G36" s="50">
        <f>($C$27*$C$29)*'SA Oct 2019'!AF22/100</f>
        <v>299.31818181818181</v>
      </c>
      <c r="H36" s="51">
        <v>0</v>
      </c>
      <c r="I36" s="52">
        <f t="shared" si="10"/>
        <v>1764.2722727272728</v>
      </c>
      <c r="J36" s="109">
        <f t="shared" si="15"/>
        <v>6694.909090909091</v>
      </c>
      <c r="K36" s="109">
        <f t="shared" si="11"/>
        <v>7057.0890909090913</v>
      </c>
      <c r="L36" s="53">
        <f t="shared" si="12"/>
        <v>7762.7980000000007</v>
      </c>
      <c r="M36" s="54">
        <f>'SA Oct 2019'!BB22</f>
        <v>0</v>
      </c>
      <c r="N36" s="54">
        <f>'SA Oct 2019'!BC22</f>
        <v>0</v>
      </c>
      <c r="O36" s="54">
        <f>'SA Oct 2019'!BD22</f>
        <v>7</v>
      </c>
      <c r="P36" s="54">
        <f>'SA Oct 2019'!BE22</f>
        <v>0</v>
      </c>
      <c r="Q36" s="110" t="str">
        <f t="shared" si="13"/>
        <v>Pay-on-time off bill</v>
      </c>
      <c r="R36" s="73" t="str">
        <f t="shared" si="14"/>
        <v>Exclusive</v>
      </c>
      <c r="S36" s="111">
        <f t="shared" si="18"/>
        <v>7057.0890909090913</v>
      </c>
      <c r="T36" s="112">
        <f t="shared" si="19"/>
        <v>6563.0928545454553</v>
      </c>
      <c r="U36" s="97">
        <f t="shared" si="16"/>
        <v>7762.7980000000007</v>
      </c>
      <c r="V36" s="98">
        <f t="shared" si="17"/>
        <v>7219.4021400000011</v>
      </c>
      <c r="W36" s="55">
        <f>'SA Oct 2019'!BL22</f>
        <v>0</v>
      </c>
      <c r="X36" s="56" t="str">
        <f>'SA Oct 2019'!BM22</f>
        <v>n</v>
      </c>
    </row>
    <row r="37" spans="1:53" x14ac:dyDescent="0.15">
      <c r="A37" s="70" t="str">
        <f>'SA Oct 2019'!K23</f>
        <v>Momentum Energy</v>
      </c>
      <c r="B37" s="49" t="str">
        <f>'SA Oct 2019'!L23</f>
        <v>SmilePower Flexi</v>
      </c>
      <c r="C37" s="46">
        <f>IF('SA Oct 2019'!BP23=0,91*'SA Oct 2019'!M23/100,(91*'SA Oct 2019'!M23/100)+'SA Oct 2019'!BP23/4)</f>
        <v>87.259900000000002</v>
      </c>
      <c r="D37" s="46">
        <f>IF('SA Oct 2019'!O23="",$C$27*$C$28*'SA Oct 2019'!N23/100,IF($C$27*$C$28&gt;='SA Oct 2019'!P23,('SA Oct 2019'!P23*'SA Oct 2019'!N23/100),($C$27*$C$28*'SA Oct 2019'!N23/100)))</f>
        <v>1089.4545454545455</v>
      </c>
      <c r="E37" s="46">
        <f>IF(AND('SA Oct 2019'!P23&gt;0,'SA Oct 2019'!R23&gt;0),IF($C$27*$C$28&lt;'SA Oct 2019'!P23,0,IF($C$27*$C$28&lt;=('SA Oct 2019'!R23+'SA Oct 2019'!P23),(($C$27*$C$28-'SA Oct 2019'!P23)*'SA Oct 2019'!Q23/100),(('SA Oct 2019'!R23)*'SA Oct 2019'!Q23/100))),0)</f>
        <v>0</v>
      </c>
      <c r="F37" s="46">
        <f>IF(AND('SA Oct 2019'!R23&gt;0,'SA Oct 2019'!T23&gt;0),IF(($C$27*$C$28&lt;'SA Oct 2019'!T23),(0),($C$27*$C$28-'SA Oct 2019'!T23)*'SA Oct 2019'!U23/100),IF(AND('SA Oct 2019'!R23&gt;0,'SA Oct 2019'!T23=""),IF(($C$27*$C$28&lt;'SA Oct 2019'!R23+'SA Oct 2019'!P23),(0),(($C$27*$C$28-('SA Oct 2019'!R23+'SA Oct 2019'!P23))*'SA Oct 2019'!S23/100)),IF(AND('SA Oct 2019'!P23&gt;0,'SA Oct 2019'!R23=""&gt;0),IF(($C$27*$C$28&lt;'SA Oct 2019'!P23),(0),($C$27*$C$28-'SA Oct 2019'!P23)*'SA Oct 2019'!Q23/100),0)))</f>
        <v>0</v>
      </c>
      <c r="G37" s="50">
        <f>($C$27*$C$29)*'SA Oct 2019'!AF23/100</f>
        <v>274.5</v>
      </c>
      <c r="H37" s="51">
        <v>0</v>
      </c>
      <c r="I37" s="52">
        <f t="shared" si="10"/>
        <v>1451.2144454545455</v>
      </c>
      <c r="J37" s="109">
        <f t="shared" si="15"/>
        <v>5455.818181818182</v>
      </c>
      <c r="K37" s="109">
        <f t="shared" si="11"/>
        <v>5804.857781818182</v>
      </c>
      <c r="L37" s="53">
        <f t="shared" si="12"/>
        <v>6385.3435600000012</v>
      </c>
      <c r="M37" s="54">
        <f>'SA Oct 2019'!BB23</f>
        <v>0</v>
      </c>
      <c r="N37" s="54">
        <f>'SA Oct 2019'!BC23</f>
        <v>0</v>
      </c>
      <c r="O37" s="54">
        <f>'SA Oct 2019'!BD23</f>
        <v>0</v>
      </c>
      <c r="P37" s="54">
        <f>'SA Oct 2019'!BE23</f>
        <v>0</v>
      </c>
      <c r="Q37" s="110" t="str">
        <f t="shared" si="13"/>
        <v>No discount</v>
      </c>
      <c r="R37" s="73" t="str">
        <f t="shared" si="14"/>
        <v>Exclusive</v>
      </c>
      <c r="S37" s="111">
        <f t="shared" si="18"/>
        <v>5804.857781818182</v>
      </c>
      <c r="T37" s="112">
        <f t="shared" si="19"/>
        <v>5804.857781818182</v>
      </c>
      <c r="U37" s="97">
        <f t="shared" si="16"/>
        <v>6385.3435600000012</v>
      </c>
      <c r="V37" s="98">
        <f t="shared" si="17"/>
        <v>6385.3435600000012</v>
      </c>
      <c r="W37" s="55">
        <f>'SA Oct 2019'!BL23</f>
        <v>0</v>
      </c>
      <c r="X37" s="56" t="str">
        <f>'SA Oct 2019'!BM23</f>
        <v>n</v>
      </c>
    </row>
    <row r="38" spans="1:53" x14ac:dyDescent="0.15">
      <c r="A38" s="70" t="str">
        <f>'SA Oct 2019'!K24</f>
        <v>Origin Energy</v>
      </c>
      <c r="B38" s="49" t="str">
        <f>'SA Oct 2019'!L24</f>
        <v xml:space="preserve">Flexi </v>
      </c>
      <c r="C38" s="46">
        <f>IF('SA Oct 2019'!BP24=0,91*'SA Oct 2019'!M24/100,(91*'SA Oct 2019'!M24/100)+'SA Oct 2019'!BP24/4)</f>
        <v>81.999272727272725</v>
      </c>
      <c r="D38" s="46">
        <f>IF('SA Oct 2019'!O24="",$C$27*$C$28*'SA Oct 2019'!N24/100,IF($C$27*$C$28&gt;='SA Oct 2019'!P24,('SA Oct 2019'!P24*'SA Oct 2019'!N24/100),($C$27*$C$28*'SA Oct 2019'!N24/100)))</f>
        <v>1393.3181818181818</v>
      </c>
      <c r="E38" s="46">
        <f>IF(AND('SA Oct 2019'!P24&gt;0,'SA Oct 2019'!R24&gt;0),IF($C$27*$C$28&lt;'SA Oct 2019'!P24,0,IF($C$27*$C$28&lt;=('SA Oct 2019'!R24+'SA Oct 2019'!P24),(($C$27*$C$28-'SA Oct 2019'!P24)*'SA Oct 2019'!Q24/100),(('SA Oct 2019'!R24)*'SA Oct 2019'!Q24/100))),0)</f>
        <v>0</v>
      </c>
      <c r="F38" s="46">
        <f>IF(AND('SA Oct 2019'!R24&gt;0,'SA Oct 2019'!T24&gt;0),IF(($C$27*$C$28&lt;'SA Oct 2019'!T24),(0),($C$27*$C$28-'SA Oct 2019'!T24)*'SA Oct 2019'!U24/100),IF(AND('SA Oct 2019'!R24&gt;0,'SA Oct 2019'!T24=""),IF(($C$27*$C$28&lt;'SA Oct 2019'!R24+'SA Oct 2019'!P24),(0),(($C$27*$C$28-('SA Oct 2019'!R24+'SA Oct 2019'!P24))*'SA Oct 2019'!S24/100)),IF(AND('SA Oct 2019'!P24&gt;0,'SA Oct 2019'!R24=""&gt;0),IF(($C$27*$C$28&lt;'SA Oct 2019'!P24),(0),($C$27*$C$28-'SA Oct 2019'!P24)*'SA Oct 2019'!Q24/100),0)))</f>
        <v>0</v>
      </c>
      <c r="G38" s="50">
        <f>($C$27*$C$29)*'SA Oct 2019'!AF24/100</f>
        <v>297.81818181818176</v>
      </c>
      <c r="H38" s="51">
        <v>0</v>
      </c>
      <c r="I38" s="52">
        <f t="shared" si="10"/>
        <v>1773.1356363636362</v>
      </c>
      <c r="J38" s="109">
        <f t="shared" si="15"/>
        <v>6764.545454545454</v>
      </c>
      <c r="K38" s="109">
        <f t="shared" si="11"/>
        <v>7092.5425454545448</v>
      </c>
      <c r="L38" s="53">
        <f t="shared" si="12"/>
        <v>7801.7968000000001</v>
      </c>
      <c r="M38" s="54">
        <f>'SA Oct 2019'!BB24</f>
        <v>14</v>
      </c>
      <c r="N38" s="54">
        <f>'SA Oct 2019'!BC24</f>
        <v>0</v>
      </c>
      <c r="O38" s="54">
        <f>'SA Oct 2019'!BD24</f>
        <v>0</v>
      </c>
      <c r="P38" s="54">
        <f>'SA Oct 2019'!BE24</f>
        <v>0</v>
      </c>
      <c r="Q38" s="110" t="str">
        <f t="shared" si="13"/>
        <v>Guaranteed off bill</v>
      </c>
      <c r="R38" s="73" t="str">
        <f t="shared" si="14"/>
        <v>Inclusive</v>
      </c>
      <c r="S38" s="111">
        <f t="shared" si="18"/>
        <v>6099.586589090909</v>
      </c>
      <c r="T38" s="112">
        <f t="shared" si="19"/>
        <v>6099.586589090909</v>
      </c>
      <c r="U38" s="97">
        <f t="shared" si="16"/>
        <v>6709.5452480000004</v>
      </c>
      <c r="V38" s="98">
        <f t="shared" si="17"/>
        <v>6709.5452480000004</v>
      </c>
      <c r="W38" s="55">
        <f>'SA Oct 2019'!BL24</f>
        <v>12</v>
      </c>
      <c r="X38" s="56" t="str">
        <f>'SA Oct 2019'!BM24</f>
        <v>y</v>
      </c>
    </row>
    <row r="39" spans="1:53" x14ac:dyDescent="0.15">
      <c r="A39" s="70" t="str">
        <f>'SA Oct 2019'!K25</f>
        <v>Powerdirect</v>
      </c>
      <c r="B39" s="49" t="str">
        <f>'SA Oct 2019'!L25</f>
        <v>Discount Saver</v>
      </c>
      <c r="C39" s="46">
        <f>IF('SA Oct 2019'!BP25=0,91*'SA Oct 2019'!M25/100,(91*'SA Oct 2019'!M25/100)+'SA Oct 2019'!BP25/4)</f>
        <v>80.989999999999995</v>
      </c>
      <c r="D39" s="46">
        <f>IF('SA Oct 2019'!O25="",$C$27*$C$28*'SA Oct 2019'!N25/100,IF($C$27*$C$28&gt;='SA Oct 2019'!P25,('SA Oct 2019'!P25*'SA Oct 2019'!N25/100),($C$27*$C$28*'SA Oct 2019'!N25/100)))</f>
        <v>1393.6363636363635</v>
      </c>
      <c r="E39" s="46">
        <f>IF(AND('SA Oct 2019'!P25&gt;0,'SA Oct 2019'!R25&gt;0),IF($C$27*$C$28&lt;'SA Oct 2019'!P25,0,IF($C$27*$C$28&lt;=('SA Oct 2019'!R25+'SA Oct 2019'!P25),(($C$27*$C$28-'SA Oct 2019'!P25)*'SA Oct 2019'!Q25/100),(('SA Oct 2019'!R25)*'SA Oct 2019'!Q25/100))),0)</f>
        <v>0</v>
      </c>
      <c r="F39" s="46">
        <f>IF(AND('SA Oct 2019'!R25&gt;0,'SA Oct 2019'!T25&gt;0),IF(($C$27*$C$28&lt;'SA Oct 2019'!T25),(0),($C$27*$C$28-'SA Oct 2019'!T25)*'SA Oct 2019'!U25/100),IF(AND('SA Oct 2019'!R25&gt;0,'SA Oct 2019'!T25=""),IF(($C$27*$C$28&lt;'SA Oct 2019'!R25+'SA Oct 2019'!P25),(0),(($C$27*$C$28-('SA Oct 2019'!R25+'SA Oct 2019'!P25))*'SA Oct 2019'!S25/100)),IF(AND('SA Oct 2019'!P25&gt;0,'SA Oct 2019'!R25=""&gt;0),IF(($C$27*$C$28&lt;'SA Oct 2019'!P25),(0),($C$27*$C$28-'SA Oct 2019'!P25)*'SA Oct 2019'!Q25/100),0)))</f>
        <v>0</v>
      </c>
      <c r="G39" s="50">
        <f>($C$27*$C$29)*'SA Oct 2019'!AF25/100</f>
        <v>301.63636363636363</v>
      </c>
      <c r="H39" s="51">
        <v>0</v>
      </c>
      <c r="I39" s="52">
        <f t="shared" si="10"/>
        <v>1776.2627272727273</v>
      </c>
      <c r="J39" s="109">
        <f t="shared" si="15"/>
        <v>6781.090909090909</v>
      </c>
      <c r="K39" s="109">
        <f t="shared" si="11"/>
        <v>7105.050909090909</v>
      </c>
      <c r="L39" s="53">
        <f t="shared" si="12"/>
        <v>7815.5560000000005</v>
      </c>
      <c r="M39" s="54">
        <f>'SA Oct 2019'!BB25</f>
        <v>15</v>
      </c>
      <c r="N39" s="54">
        <f>'SA Oct 2019'!BC25</f>
        <v>0</v>
      </c>
      <c r="O39" s="54">
        <f>'SA Oct 2019'!BD25</f>
        <v>0</v>
      </c>
      <c r="P39" s="54">
        <f>'SA Oct 2019'!BE25</f>
        <v>0</v>
      </c>
      <c r="Q39" s="110" t="str">
        <f t="shared" ref="Q39:Q45" si="20">IF(SUM(M39:P39)=0,"No discount",IF(M39&gt;0,"Guaranteed off bill",IF(N39&gt;0,"Guaranteed off usage",IF(O39&gt;0,"Pay-on-time off bill","Pay-on-time off usage"))))</f>
        <v>Guaranteed off bill</v>
      </c>
      <c r="R39" s="73" t="str">
        <f t="shared" ref="R39:R45" si="21">IF(OR(A39="Origin Energy",A39="Red Energy",A39="Powershop"),"Inclusive","Exclusive")</f>
        <v>Exclusive</v>
      </c>
      <c r="S39" s="111">
        <f t="shared" si="18"/>
        <v>6039.2932727272728</v>
      </c>
      <c r="T39" s="112">
        <f t="shared" si="19"/>
        <v>6039.2932727272728</v>
      </c>
      <c r="U39" s="97">
        <f t="shared" si="16"/>
        <v>6643.222600000001</v>
      </c>
      <c r="V39" s="98">
        <f t="shared" si="17"/>
        <v>6643.222600000001</v>
      </c>
      <c r="W39" s="55">
        <f>'SA Oct 2019'!BL25</f>
        <v>0</v>
      </c>
      <c r="X39" s="56" t="str">
        <f>'SA Oct 2019'!BM25</f>
        <v>n</v>
      </c>
    </row>
    <row r="40" spans="1:53" x14ac:dyDescent="0.15">
      <c r="A40" s="70" t="str">
        <f>'SA Oct 2019'!K26</f>
        <v>Red Energy</v>
      </c>
      <c r="B40" s="49" t="str">
        <f>'SA Oct 2019'!L26</f>
        <v>Red Business Saver</v>
      </c>
      <c r="C40" s="46">
        <f>IF('SA Oct 2019'!BP26=0,91*'SA Oct 2019'!M26/100,(91*'SA Oct 2019'!M26/100)+'SA Oct 2019'!BP26/4)</f>
        <v>79.260999999999996</v>
      </c>
      <c r="D40" s="46">
        <f>IF('SA Oct 2019'!O26="",$C$27*$C$28*'SA Oct 2019'!N26/100,IF($C$27*$C$28&gt;='SA Oct 2019'!P26,('SA Oct 2019'!P26*'SA Oct 2019'!N26/100),($C$27*$C$28*'SA Oct 2019'!N26/100)))</f>
        <v>1228.4999999999998</v>
      </c>
      <c r="E40" s="46">
        <f>IF(AND('SA Oct 2019'!P26&gt;0,'SA Oct 2019'!R26&gt;0),IF($C$27*$C$28&lt;'SA Oct 2019'!P26,0,IF($C$27*$C$28&lt;=('SA Oct 2019'!R26+'SA Oct 2019'!P26),(($C$27*$C$28-'SA Oct 2019'!P26)*'SA Oct 2019'!Q26/100),(('SA Oct 2019'!R26)*'SA Oct 2019'!Q26/100))),0)</f>
        <v>0</v>
      </c>
      <c r="F40" s="46">
        <f>IF(AND('SA Oct 2019'!R26&gt;0,'SA Oct 2019'!T26&gt;0),IF(($C$27*$C$28&lt;'SA Oct 2019'!T26),(0),($C$27*$C$28-'SA Oct 2019'!T26)*'SA Oct 2019'!U26/100),IF(AND('SA Oct 2019'!R26&gt;0,'SA Oct 2019'!T26=""),IF(($C$27*$C$28&lt;'SA Oct 2019'!R26+'SA Oct 2019'!P26),(0),(($C$27*$C$28-('SA Oct 2019'!R26+'SA Oct 2019'!P26))*'SA Oct 2019'!S26/100)),IF(AND('SA Oct 2019'!P26&gt;0,'SA Oct 2019'!R26=""&gt;0),IF(($C$27*$C$28&lt;'SA Oct 2019'!P26),(0),($C$27*$C$28-'SA Oct 2019'!P26)*'SA Oct 2019'!Q26/100),0)))</f>
        <v>0</v>
      </c>
      <c r="G40" s="50">
        <f>($C$27*$C$29)*'SA Oct 2019'!AF26/100</f>
        <v>289.49999999999994</v>
      </c>
      <c r="H40" s="51">
        <v>0</v>
      </c>
      <c r="I40" s="52">
        <f t="shared" si="10"/>
        <v>1597.2609999999997</v>
      </c>
      <c r="J40" s="109">
        <f t="shared" si="15"/>
        <v>6071.9999999999991</v>
      </c>
      <c r="K40" s="109">
        <f t="shared" si="11"/>
        <v>6389.043999999999</v>
      </c>
      <c r="L40" s="53">
        <f t="shared" si="12"/>
        <v>7027.9483999999993</v>
      </c>
      <c r="M40" s="54">
        <f>'SA Oct 2019'!BB26</f>
        <v>0</v>
      </c>
      <c r="N40" s="54">
        <f>'SA Oct 2019'!BC26</f>
        <v>0</v>
      </c>
      <c r="O40" s="54">
        <f>'SA Oct 2019'!BD26</f>
        <v>0</v>
      </c>
      <c r="P40" s="54">
        <f>'SA Oct 2019'!BE26</f>
        <v>0</v>
      </c>
      <c r="Q40" s="110" t="str">
        <f t="shared" si="20"/>
        <v>No discount</v>
      </c>
      <c r="R40" s="73" t="str">
        <f t="shared" si="21"/>
        <v>Inclusive</v>
      </c>
      <c r="S40" s="111">
        <f t="shared" si="18"/>
        <v>6389.043999999999</v>
      </c>
      <c r="T40" s="112">
        <f t="shared" si="19"/>
        <v>6389.043999999999</v>
      </c>
      <c r="U40" s="97">
        <f t="shared" si="16"/>
        <v>7027.9483999999993</v>
      </c>
      <c r="V40" s="98">
        <f t="shared" si="17"/>
        <v>7027.9483999999993</v>
      </c>
      <c r="W40" s="55">
        <f>'SA Oct 2019'!BL26</f>
        <v>0</v>
      </c>
      <c r="X40" s="56" t="str">
        <f>'SA Oct 2019'!BM26</f>
        <v>n</v>
      </c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</row>
    <row r="41" spans="1:53" x14ac:dyDescent="0.15">
      <c r="A41" s="70" t="str">
        <f>'SA Oct 2019'!K27</f>
        <v>Simply Energy</v>
      </c>
      <c r="B41" s="49" t="str">
        <f>'SA Oct 2019'!L27</f>
        <v>Business Plus</v>
      </c>
      <c r="C41" s="46">
        <f>IF('SA Oct 2019'!BP27=0,91*'SA Oct 2019'!M27/100,(91*'SA Oct 2019'!M27/100)+'SA Oct 2019'!BP27/4)</f>
        <v>78.605800000000002</v>
      </c>
      <c r="D41" s="46">
        <f>IF('SA Oct 2019'!O27="",$C$27*$C$28*'SA Oct 2019'!N27/100,IF($C$27*$C$28&gt;='SA Oct 2019'!P27,('SA Oct 2019'!P27*'SA Oct 2019'!N27/100),($C$27*$C$28*'SA Oct 2019'!N27/100)))</f>
        <v>1228.4999999999998</v>
      </c>
      <c r="E41" s="46">
        <f>IF(AND('SA Oct 2019'!P27&gt;0,'SA Oct 2019'!R27&gt;0),IF($C$27*$C$28&lt;'SA Oct 2019'!P27,0,IF($C$27*$C$28&lt;=('SA Oct 2019'!R27+'SA Oct 2019'!P27),(($C$27*$C$28-'SA Oct 2019'!P27)*'SA Oct 2019'!Q27/100),(('SA Oct 2019'!R27)*'SA Oct 2019'!Q27/100))),0)</f>
        <v>0</v>
      </c>
      <c r="F41" s="46">
        <f>IF(AND('SA Oct 2019'!R27&gt;0,'SA Oct 2019'!T27&gt;0),IF(($C$27*$C$28&lt;'SA Oct 2019'!T27),(0),($C$27*$C$28-'SA Oct 2019'!T27)*'SA Oct 2019'!U27/100),IF(AND('SA Oct 2019'!R27&gt;0,'SA Oct 2019'!T27=""),IF(($C$27*$C$28&lt;'SA Oct 2019'!R27+'SA Oct 2019'!P27),(0),(($C$27*$C$28-('SA Oct 2019'!R27+'SA Oct 2019'!P27))*'SA Oct 2019'!S27/100)),IF(AND('SA Oct 2019'!P27&gt;0,'SA Oct 2019'!R27=""&gt;0),IF(($C$27*$C$28&lt;'SA Oct 2019'!P27),(0),($C$27*$C$28-'SA Oct 2019'!P27)*'SA Oct 2019'!Q27/100),0)))</f>
        <v>0</v>
      </c>
      <c r="G41" s="50">
        <f>($C$27*$C$29)*'SA Oct 2019'!AF27/100</f>
        <v>302.59090909090907</v>
      </c>
      <c r="H41" s="51">
        <v>0</v>
      </c>
      <c r="I41" s="52">
        <f t="shared" si="10"/>
        <v>1609.6967090909088</v>
      </c>
      <c r="J41" s="109">
        <f t="shared" si="15"/>
        <v>6124.3636363636351</v>
      </c>
      <c r="K41" s="109">
        <f t="shared" si="11"/>
        <v>6438.7868363636353</v>
      </c>
      <c r="L41" s="53">
        <f t="shared" si="12"/>
        <v>7082.6655199999996</v>
      </c>
      <c r="M41" s="54">
        <f>'SA Oct 2019'!BB27</f>
        <v>0</v>
      </c>
      <c r="N41" s="54">
        <f>'SA Oct 2019'!BC27</f>
        <v>0</v>
      </c>
      <c r="O41" s="54">
        <f>'SA Oct 2019'!BD27</f>
        <v>0</v>
      </c>
      <c r="P41" s="54">
        <f>'SA Oct 2019'!BE27</f>
        <v>0</v>
      </c>
      <c r="Q41" s="110" t="str">
        <f t="shared" si="20"/>
        <v>No discount</v>
      </c>
      <c r="R41" s="73" t="str">
        <f t="shared" si="21"/>
        <v>Exclusive</v>
      </c>
      <c r="S41" s="111">
        <f t="shared" si="18"/>
        <v>6438.7868363636353</v>
      </c>
      <c r="T41" s="112">
        <f t="shared" si="19"/>
        <v>6438.7868363636353</v>
      </c>
      <c r="U41" s="97">
        <f t="shared" si="16"/>
        <v>7082.6655199999996</v>
      </c>
      <c r="V41" s="98">
        <f t="shared" si="17"/>
        <v>7082.6655199999996</v>
      </c>
      <c r="W41" s="55">
        <f>'SA Oct 2019'!BL27</f>
        <v>0</v>
      </c>
      <c r="X41" s="56" t="str">
        <f>'SA Oct 2019'!BM27</f>
        <v>N</v>
      </c>
    </row>
    <row r="42" spans="1:53" x14ac:dyDescent="0.15">
      <c r="A42" s="70" t="str">
        <f>'SA Oct 2019'!K28</f>
        <v>Blue NRG</v>
      </c>
      <c r="B42" s="49" t="str">
        <f>'SA Oct 2019'!L28</f>
        <v>Market offer</v>
      </c>
      <c r="C42" s="46">
        <f>IF('SA Oct 2019'!BP28=0,91*'SA Oct 2019'!M28/100,(91*'SA Oct 2019'!M28/100)+'SA Oct 2019'!BP28/4)</f>
        <v>109.30754545454545</v>
      </c>
      <c r="D42" s="46">
        <f>IF('SA Oct 2019'!O28="",$C$27*$C$28*'SA Oct 2019'!N28/100,IF($C$27*$C$28&gt;='SA Oct 2019'!P28,('SA Oct 2019'!P28*'SA Oct 2019'!N28/100),($C$27*$C$28*'SA Oct 2019'!N28/100)))</f>
        <v>1287.681818181818</v>
      </c>
      <c r="E42" s="46">
        <f>IF(AND('SA Oct 2019'!P28&gt;0,'SA Oct 2019'!R28&gt;0),IF($C$27*$C$28&lt;'SA Oct 2019'!P28,0,IF($C$27*$C$28&lt;=('SA Oct 2019'!R28+'SA Oct 2019'!P28),(($C$27*$C$28-'SA Oct 2019'!P28)*'SA Oct 2019'!Q28/100),(('SA Oct 2019'!R28)*'SA Oct 2019'!Q28/100))),0)</f>
        <v>0</v>
      </c>
      <c r="F42" s="46">
        <f>IF(AND('SA Oct 2019'!R28&gt;0,'SA Oct 2019'!T28&gt;0),IF(($C$27*$C$28&lt;'SA Oct 2019'!T28),(0),($C$27*$C$28-'SA Oct 2019'!T28)*'SA Oct 2019'!U28/100),IF(AND('SA Oct 2019'!R28&gt;0,'SA Oct 2019'!T28=""),IF(($C$27*$C$28&lt;'SA Oct 2019'!R28+'SA Oct 2019'!P28),(0),(($C$27*$C$28-('SA Oct 2019'!R28+'SA Oct 2019'!P28))*'SA Oct 2019'!S28/100)),IF(AND('SA Oct 2019'!P28&gt;0,'SA Oct 2019'!R28=""&gt;0),IF(($C$27*$C$28&lt;'SA Oct 2019'!P28),(0),($C$27*$C$28-'SA Oct 2019'!P28)*'SA Oct 2019'!Q28/100),0)))</f>
        <v>0</v>
      </c>
      <c r="G42" s="50">
        <f>($C$27*$C$29)*'SA Oct 2019'!AF28/100</f>
        <v>408.75</v>
      </c>
      <c r="H42" s="51">
        <v>0</v>
      </c>
      <c r="I42" s="52">
        <f t="shared" si="10"/>
        <v>1805.7393636363636</v>
      </c>
      <c r="J42" s="109">
        <f t="shared" si="15"/>
        <v>6785.7272727272721</v>
      </c>
      <c r="K42" s="109">
        <f t="shared" si="11"/>
        <v>7222.9574545454543</v>
      </c>
      <c r="L42" s="53">
        <f t="shared" si="12"/>
        <v>7945.2532000000001</v>
      </c>
      <c r="M42" s="54">
        <f>'SA Oct 2019'!BB28</f>
        <v>0</v>
      </c>
      <c r="N42" s="54">
        <f>'SA Oct 2019'!BC28</f>
        <v>0</v>
      </c>
      <c r="O42" s="54">
        <f>'SA Oct 2019'!BD28</f>
        <v>0</v>
      </c>
      <c r="P42" s="54">
        <f>'SA Oct 2019'!BE28</f>
        <v>0</v>
      </c>
      <c r="Q42" s="110" t="str">
        <f t="shared" si="20"/>
        <v>No discount</v>
      </c>
      <c r="R42" s="73" t="str">
        <f t="shared" si="21"/>
        <v>Exclusive</v>
      </c>
      <c r="S42" s="111">
        <f t="shared" si="18"/>
        <v>7222.9574545454543</v>
      </c>
      <c r="T42" s="112">
        <f t="shared" si="19"/>
        <v>7222.9574545454543</v>
      </c>
      <c r="U42" s="97">
        <f t="shared" si="16"/>
        <v>7945.2532000000001</v>
      </c>
      <c r="V42" s="98">
        <f t="shared" si="17"/>
        <v>7945.2532000000001</v>
      </c>
      <c r="W42" s="55">
        <f>'SA Oct 2019'!BL28</f>
        <v>36</v>
      </c>
      <c r="X42" s="56" t="str">
        <f>'SA Oct 2019'!BM28</f>
        <v>n</v>
      </c>
    </row>
    <row r="43" spans="1:53" x14ac:dyDescent="0.15">
      <c r="A43" s="70" t="str">
        <f>'SA Oct 2019'!K29</f>
        <v>Powershop</v>
      </c>
      <c r="B43" s="49" t="str">
        <f>'SA Oct 2019'!L29</f>
        <v>Shopper with Mega Pack</v>
      </c>
      <c r="C43" s="46">
        <f>IF('SA Oct 2019'!BP29=0,91*'SA Oct 2019'!M29/100,(91*'SA Oct 2019'!M29/100)+'SA Oct 2019'!BP29/4)</f>
        <v>100.71880000000002</v>
      </c>
      <c r="D43" s="46">
        <f>IF('SA Oct 2019'!O29="",$C$27*$C$28*'SA Oct 2019'!N29/100,IF($C$27*$C$28&gt;='SA Oct 2019'!P29,('SA Oct 2019'!P29*'SA Oct 2019'!N29/100),($C$27*$C$28*'SA Oct 2019'!N29/100)))</f>
        <v>1298.1500000000001</v>
      </c>
      <c r="E43" s="46">
        <f>IF(AND('SA Oct 2019'!P29&gt;0,'SA Oct 2019'!R29&gt;0),IF($C$27*$C$28&lt;'SA Oct 2019'!P29,0,IF($C$27*$C$28&lt;=('SA Oct 2019'!R29+'SA Oct 2019'!P29),(($C$27*$C$28-'SA Oct 2019'!P29)*'SA Oct 2019'!Q29/100),(('SA Oct 2019'!R29)*'SA Oct 2019'!Q29/100))),0)</f>
        <v>0</v>
      </c>
      <c r="F43" s="46">
        <f>IF(AND('SA Oct 2019'!R29&gt;0,'SA Oct 2019'!T29&gt;0),IF(($C$27*$C$28&lt;'SA Oct 2019'!T29),(0),($C$27*$C$28-'SA Oct 2019'!T29)*'SA Oct 2019'!U29/100),IF(AND('SA Oct 2019'!R29&gt;0,'SA Oct 2019'!T29=""),IF(($C$27*$C$28&lt;'SA Oct 2019'!R29+'SA Oct 2019'!P29),(0),(($C$27*$C$28-('SA Oct 2019'!R29+'SA Oct 2019'!P29))*'SA Oct 2019'!S29/100)),IF(AND('SA Oct 2019'!P29&gt;0,'SA Oct 2019'!R29=""&gt;0),IF(($C$27*$C$28&lt;'SA Oct 2019'!P29),(0),($C$27*$C$28-'SA Oct 2019'!P29)*'SA Oct 2019'!Q29/100),0)))</f>
        <v>0</v>
      </c>
      <c r="G43" s="50">
        <f>($C$27*$C$29)*'SA Oct 2019'!AF29/100</f>
        <v>306.81818181818181</v>
      </c>
      <c r="H43" s="51">
        <v>0</v>
      </c>
      <c r="I43" s="52">
        <f t="shared" si="10"/>
        <v>1705.6869818181819</v>
      </c>
      <c r="J43" s="109">
        <f t="shared" si="15"/>
        <v>6419.8727272727274</v>
      </c>
      <c r="K43" s="109">
        <f t="shared" si="11"/>
        <v>6822.7479272727278</v>
      </c>
      <c r="L43" s="53">
        <f t="shared" si="12"/>
        <v>7505.0227200000008</v>
      </c>
      <c r="M43" s="54">
        <f>'SA Oct 2019'!BB29</f>
        <v>0</v>
      </c>
      <c r="N43" s="54">
        <f>'SA Oct 2019'!BC29</f>
        <v>0</v>
      </c>
      <c r="O43" s="54">
        <f>'SA Oct 2019'!BD29</f>
        <v>12</v>
      </c>
      <c r="P43" s="54">
        <f>'SA Oct 2019'!BE29</f>
        <v>0</v>
      </c>
      <c r="Q43" s="110" t="str">
        <f t="shared" si="20"/>
        <v>Pay-on-time off bill</v>
      </c>
      <c r="R43" s="73" t="str">
        <f t="shared" si="21"/>
        <v>Inclusive</v>
      </c>
      <c r="S43" s="111">
        <f t="shared" si="18"/>
        <v>6822.7479272727278</v>
      </c>
      <c r="T43" s="112">
        <f t="shared" si="19"/>
        <v>6004.0181759999996</v>
      </c>
      <c r="U43" s="97">
        <f t="shared" si="16"/>
        <v>7505.0227200000008</v>
      </c>
      <c r="V43" s="98">
        <f t="shared" si="17"/>
        <v>6604.4199936000005</v>
      </c>
      <c r="W43" s="55">
        <f>'SA Oct 2019'!BL29</f>
        <v>0</v>
      </c>
      <c r="X43" s="56" t="str">
        <f>'SA Oct 2019'!BM29</f>
        <v>n</v>
      </c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</row>
    <row r="44" spans="1:53" x14ac:dyDescent="0.15">
      <c r="A44" s="70" t="str">
        <f>'SA Oct 2019'!K30</f>
        <v>Amaysim</v>
      </c>
      <c r="B44" s="49" t="str">
        <f>'SA Oct 2019'!L30</f>
        <v>Business as you go</v>
      </c>
      <c r="C44" s="46">
        <f>IF('SA Oct 2019'!BP30=0,91*'SA Oct 2019'!M30/100,(91*'SA Oct 2019'!M30/100)+'SA Oct 2019'!BP30/4)</f>
        <v>58.558499999999995</v>
      </c>
      <c r="D44" s="46">
        <f>IF('SA Oct 2019'!O30="",$C$27*$C$28*'SA Oct 2019'!N30/100,IF($C$27*$C$28&gt;='SA Oct 2019'!P30,('SA Oct 2019'!P30*'SA Oct 2019'!N30/100),($C$27*$C$28*'SA Oct 2019'!N30/100)))</f>
        <v>1255.8000000000002</v>
      </c>
      <c r="E44" s="46">
        <f>IF(AND('SA Oct 2019'!P30&gt;0,'SA Oct 2019'!R30&gt;0),IF($C$27*$C$28&lt;'SA Oct 2019'!P30,0,IF($C$27*$C$28&lt;=('SA Oct 2019'!R30+'SA Oct 2019'!P30),(($C$27*$C$28-'SA Oct 2019'!P30)*'SA Oct 2019'!Q30/100),(('SA Oct 2019'!R30)*'SA Oct 2019'!Q30/100))),0)</f>
        <v>0</v>
      </c>
      <c r="F44" s="46">
        <f>IF(AND('SA Oct 2019'!R30&gt;0,'SA Oct 2019'!T30&gt;0),IF(($C$27*$C$28&lt;'SA Oct 2019'!T30),(0),($C$27*$C$28-'SA Oct 2019'!T30)*'SA Oct 2019'!U30/100),IF(AND('SA Oct 2019'!R30&gt;0,'SA Oct 2019'!T30=""),IF(($C$27*$C$28&lt;'SA Oct 2019'!R30+'SA Oct 2019'!P30),(0),(($C$27*$C$28-('SA Oct 2019'!R30+'SA Oct 2019'!P30))*'SA Oct 2019'!S30/100)),IF(AND('SA Oct 2019'!P30&gt;0,'SA Oct 2019'!R30=""&gt;0),IF(($C$27*$C$28&lt;'SA Oct 2019'!P30),(0),($C$27*$C$28-'SA Oct 2019'!P30)*'SA Oct 2019'!Q30/100),0)))</f>
        <v>0</v>
      </c>
      <c r="G44" s="50">
        <f>($C$27*$C$29)*'SA Oct 2019'!AF30/100</f>
        <v>458.55</v>
      </c>
      <c r="H44" s="51">
        <v>0</v>
      </c>
      <c r="I44" s="52">
        <f t="shared" si="10"/>
        <v>1772.9085000000002</v>
      </c>
      <c r="J44" s="109">
        <f t="shared" si="15"/>
        <v>6857.4000000000005</v>
      </c>
      <c r="K44" s="109">
        <f t="shared" si="11"/>
        <v>7091.6340000000009</v>
      </c>
      <c r="L44" s="53">
        <f t="shared" si="12"/>
        <v>7800.7974000000013</v>
      </c>
      <c r="M44" s="54">
        <f>'SA Oct 2019'!BB30</f>
        <v>0</v>
      </c>
      <c r="N44" s="54">
        <f>'SA Oct 2019'!BC30</f>
        <v>0</v>
      </c>
      <c r="O44" s="54">
        <f>'SA Oct 2019'!BD30</f>
        <v>0</v>
      </c>
      <c r="P44" s="54">
        <f>'SA Oct 2019'!BE30</f>
        <v>0</v>
      </c>
      <c r="Q44" s="110" t="str">
        <f t="shared" si="20"/>
        <v>No discount</v>
      </c>
      <c r="R44" s="73" t="str">
        <f t="shared" si="21"/>
        <v>Exclusive</v>
      </c>
      <c r="S44" s="111">
        <f t="shared" si="18"/>
        <v>7091.6340000000009</v>
      </c>
      <c r="T44" s="112">
        <f t="shared" si="19"/>
        <v>7091.6340000000009</v>
      </c>
      <c r="U44" s="97">
        <f t="shared" si="16"/>
        <v>7800.7974000000013</v>
      </c>
      <c r="V44" s="98">
        <f t="shared" si="17"/>
        <v>7800.7974000000013</v>
      </c>
      <c r="W44" s="55">
        <f>'SA Oct 2019'!BL30</f>
        <v>0</v>
      </c>
      <c r="X44" s="56" t="str">
        <f>'SA Oct 2019'!BM30</f>
        <v>n</v>
      </c>
    </row>
    <row r="45" spans="1:53" ht="15" thickBot="1" x14ac:dyDescent="0.2">
      <c r="A45" s="71" t="str">
        <f>'SA Oct 2019'!K31</f>
        <v>Lumo Energy</v>
      </c>
      <c r="B45" s="57" t="str">
        <f>'SA Oct 2019'!L31</f>
        <v>Basic</v>
      </c>
      <c r="C45" s="58">
        <f>IF('SA Oct 2019'!BP31=0,91*'SA Oct 2019'!M31/100,(91*'SA Oct 2019'!M31/100)+'SA Oct 2019'!BP31/4)</f>
        <v>78.276545454545442</v>
      </c>
      <c r="D45" s="58">
        <f>IF('SA Oct 2019'!O31="",$C$27*$C$28*'SA Oct 2019'!N31/100,IF($C$27*$C$28&gt;='SA Oct 2019'!P31,('SA Oct 2019'!P31*'SA Oct 2019'!N31/100),($C$27*$C$28*'SA Oct 2019'!N31/100)))</f>
        <v>1221.5</v>
      </c>
      <c r="E45" s="58">
        <f>IF(AND('SA Oct 2019'!P31&gt;0,'SA Oct 2019'!R31&gt;0),IF($C$27*$C$28&lt;'SA Oct 2019'!P31,0,IF($C$27*$C$28&lt;=('SA Oct 2019'!R31+'SA Oct 2019'!P31),(($C$27*$C$28-'SA Oct 2019'!P31)*'SA Oct 2019'!Q31/100),(('SA Oct 2019'!R31)*'SA Oct 2019'!Q31/100))),0)</f>
        <v>0</v>
      </c>
      <c r="F45" s="58">
        <f>IF(AND('SA Oct 2019'!R31&gt;0,'SA Oct 2019'!T31&gt;0),IF(($C$27*$C$28&lt;'SA Oct 2019'!T31),(0),($C$27*$C$28-'SA Oct 2019'!T31)*'SA Oct 2019'!U31/100),IF(AND('SA Oct 2019'!R31&gt;0,'SA Oct 2019'!T31=""),IF(($C$27*$C$28&lt;'SA Oct 2019'!R31+'SA Oct 2019'!P31),(0),(($C$27*$C$28-('SA Oct 2019'!R31+'SA Oct 2019'!P31))*'SA Oct 2019'!S31/100)),IF(AND('SA Oct 2019'!P31&gt;0,'SA Oct 2019'!R31=""&gt;0),IF(($C$27*$C$28&lt;'SA Oct 2019'!P31),(0),($C$27*$C$28-'SA Oct 2019'!P31)*'SA Oct 2019'!Q31/100),0)))</f>
        <v>0</v>
      </c>
      <c r="G45" s="59">
        <f>($C$27*$C$29)*'SA Oct 2019'!AF31/100</f>
        <v>267.95454545454538</v>
      </c>
      <c r="H45" s="60">
        <v>0</v>
      </c>
      <c r="I45" s="61">
        <f t="shared" si="10"/>
        <v>1567.7310909090907</v>
      </c>
      <c r="J45" s="113">
        <f t="shared" si="15"/>
        <v>5957.8181818181811</v>
      </c>
      <c r="K45" s="116">
        <f t="shared" si="11"/>
        <v>6270.9243636363626</v>
      </c>
      <c r="L45" s="62">
        <f t="shared" si="12"/>
        <v>6898.0167999999994</v>
      </c>
      <c r="M45" s="63">
        <f>'SA Oct 2019'!BB31</f>
        <v>0</v>
      </c>
      <c r="N45" s="63">
        <f>'SA Oct 2019'!BC31</f>
        <v>0</v>
      </c>
      <c r="O45" s="63">
        <f>'SA Oct 2019'!BD31</f>
        <v>0</v>
      </c>
      <c r="P45" s="63">
        <f>'SA Oct 2019'!BE31</f>
        <v>0</v>
      </c>
      <c r="Q45" s="115" t="str">
        <f t="shared" si="20"/>
        <v>No discount</v>
      </c>
      <c r="R45" s="72" t="str">
        <f t="shared" si="21"/>
        <v>Exclusive</v>
      </c>
      <c r="S45" s="113">
        <f t="shared" ref="S45" si="22">IF(AND(Q45="Guaranteed off bill",R45="Inclusive"),((K45*1.1)-((K45*1.1)*M45/100))/1.1,IF(AND(Q45="Guaranteed off usage",R45="Inclusive"),((K45*1.1)-((J45*1.1)*N45/100))/1.1,IF(AND(Q45="Guaranteed off bill",R45="Exclusive"),K45-(K45*M45/100),IF(AND(Q45="Guaranteed off usage",R45="Exclusive"),K45-(J45*N45/100),IF(R45="Inclusive",((K45*1.1))/1.1,K45)))))</f>
        <v>6270.9243636363626</v>
      </c>
      <c r="T45" s="114">
        <f t="shared" ref="T45" si="23">IF(AND(Q45="Pay-on-time off bill",R45="Inclusive"),((S45*1.1)-((S45*1.1)*O45/100))/1.1,IF(AND(Q45="Pay-on-time off usage",R45="Inclusive"),((S45*1.1)-((J45*1.1)*P45/100))/1.1,IF(AND(Q45="Pay-on-time off bill",R45="Exclusive"),S45-(S45*O45/100),IF(AND(Q45="Pay-on-time off usage",R45="Exclusive"),S45-(J45*P45/100),IF(R45="Inclusive",((S45*1.1))/1.1,S45)))))</f>
        <v>6270.9243636363626</v>
      </c>
      <c r="U45" s="99">
        <f t="shared" si="16"/>
        <v>6898.0167999999994</v>
      </c>
      <c r="V45" s="101">
        <f t="shared" si="17"/>
        <v>6898.0167999999994</v>
      </c>
      <c r="W45" s="64">
        <f>'SA Oct 2019'!BL31</f>
        <v>0</v>
      </c>
      <c r="X45" s="65" t="str">
        <f>'SA Oct 2019'!BM31</f>
        <v>n</v>
      </c>
    </row>
    <row r="47" spans="1:53" ht="15" thickBot="1" x14ac:dyDescent="0.2">
      <c r="F47" s="84"/>
      <c r="X47" s="84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</row>
    <row r="48" spans="1:53" x14ac:dyDescent="0.15">
      <c r="A48" s="36" t="s">
        <v>176</v>
      </c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9"/>
    </row>
    <row r="49" spans="1:53" x14ac:dyDescent="0.15">
      <c r="A49" s="40" t="s">
        <v>197</v>
      </c>
      <c r="B49" s="38"/>
      <c r="C49" s="47">
        <v>5000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41"/>
    </row>
    <row r="50" spans="1:53" x14ac:dyDescent="0.15">
      <c r="A50" s="40" t="s">
        <v>85</v>
      </c>
      <c r="B50" s="38"/>
      <c r="C50" s="48">
        <v>0.7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41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</row>
    <row r="51" spans="1:53" x14ac:dyDescent="0.15">
      <c r="A51" s="40" t="s">
        <v>172</v>
      </c>
      <c r="B51" s="38"/>
      <c r="C51" s="48">
        <v>0.3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41"/>
    </row>
    <row r="52" spans="1:53" x14ac:dyDescent="0.15">
      <c r="A52" s="40"/>
      <c r="B52" s="38"/>
      <c r="C52" s="38"/>
      <c r="D52" s="38"/>
      <c r="E52" s="38"/>
      <c r="F52" s="49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41"/>
    </row>
    <row r="53" spans="1:53" ht="75" x14ac:dyDescent="0.15">
      <c r="A53" s="271" t="s">
        <v>216</v>
      </c>
      <c r="B53" s="274" t="s">
        <v>198</v>
      </c>
      <c r="C53" s="274" t="s">
        <v>199</v>
      </c>
      <c r="D53" s="274" t="s">
        <v>200</v>
      </c>
      <c r="E53" s="274" t="s">
        <v>201</v>
      </c>
      <c r="F53" s="274" t="s">
        <v>202</v>
      </c>
      <c r="G53" s="274" t="s">
        <v>164</v>
      </c>
      <c r="H53" s="274" t="s">
        <v>173</v>
      </c>
      <c r="I53" s="274" t="s">
        <v>165</v>
      </c>
      <c r="J53" s="275" t="s">
        <v>544</v>
      </c>
      <c r="K53" s="276" t="s">
        <v>166</v>
      </c>
      <c r="L53" s="277" t="s">
        <v>545</v>
      </c>
      <c r="M53" s="278" t="s">
        <v>167</v>
      </c>
      <c r="N53" s="278" t="s">
        <v>168</v>
      </c>
      <c r="O53" s="278" t="s">
        <v>169</v>
      </c>
      <c r="P53" s="278" t="s">
        <v>170</v>
      </c>
      <c r="Q53" s="279" t="s">
        <v>541</v>
      </c>
      <c r="R53" s="279" t="s">
        <v>542</v>
      </c>
      <c r="S53" s="280" t="s">
        <v>546</v>
      </c>
      <c r="T53" s="280" t="s">
        <v>547</v>
      </c>
      <c r="U53" s="281" t="s">
        <v>227</v>
      </c>
      <c r="V53" s="281" t="s">
        <v>272</v>
      </c>
      <c r="W53" s="278" t="s">
        <v>82</v>
      </c>
      <c r="X53" s="282" t="s">
        <v>83</v>
      </c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</row>
    <row r="54" spans="1:53" x14ac:dyDescent="0.15">
      <c r="A54" s="70" t="str">
        <f>'SA Oct 2019'!K32</f>
        <v>AGL</v>
      </c>
      <c r="B54" s="49" t="str">
        <f>'SA Oct 2019'!L32</f>
        <v>Business Essentials</v>
      </c>
      <c r="C54" s="46">
        <f>IF('SA Oct 2019'!BP32=0,91*'SA Oct 2019'!M32/100,(91*'SA Oct 2019'!M32/100)+'SA Oct 2019'!BP32/4)</f>
        <v>71.269545454545451</v>
      </c>
      <c r="D54" s="46">
        <f>IF('SA Oct 2019'!O32="",$C$49*$C$50*'SA Oct 2019'!N32/100,IF($C$49*$C$50&gt;='SA Oct 2019'!P32,('SA Oct 2019'!P32*'SA Oct 2019'!N32/100),($C$49*$C$50*'SA Oct 2019'!N32/100)))</f>
        <v>1321.409090909091</v>
      </c>
      <c r="E54" s="46">
        <f>IF(AND('SA Oct 2019'!P32&gt;0,'SA Oct 2019'!R32&gt;0),IF($C$49*$C$50&lt;'SA Oct 2019'!P32,0,IF($C$49*$C$50&lt;=('SA Oct 2019'!R32+'SA Oct 2019'!P32),(($C$49*$C$50-'SA Oct 2019'!P32)*'SA Oct 2019'!Q32/100),(('SA Oct 2019'!R32)*'SA Oct 2019'!Q32/100))),0)</f>
        <v>0</v>
      </c>
      <c r="F54" s="46">
        <f>IF(AND('SA Oct 2019'!Q18&gt;0,'SA Oct 2019'!S18&gt;0),IF($C$49*$C$50&lt;('SA Oct 2019'!R18+'SA Oct 2019'!P18),0,IF($C$49*$C$50&lt;=('SA Oct 2019'!T18+'SA Oct 2019'!R18+'SA Oct 2019'!P18),(($C$49*$C$50-('SA Oct 2019'!R18+'SA Oct 2019'!P18))*'SA Oct 2019'!S18/100),('SA Oct 2019'!T18*'SA Oct 2019'!S18/100))),0)</f>
        <v>0</v>
      </c>
      <c r="G54" s="50">
        <f>IF(AND('SA Oct 2019'!R32&gt;0,'SA Oct 2019'!T32&gt;0),IF(($C$49*$C$50&lt;'SA Oct 2019'!T32),(0),($C$49*$C$50-'SA Oct 2019'!T32)*'SA Oct 2019'!U32/100),IF(AND('SA Oct 2019'!R32&gt;0,'SA Oct 2019'!T32=""),IF(($C$49*$C$50&lt;'SA Oct 2019'!R32+'SA Oct 2019'!P32),(0),(($C$49*$C$50-('SA Oct 2019'!R32+'SA Oct 2019'!P32))*'SA Oct 2019'!S32/100)),IF(AND('SA Oct 2019'!P32&gt;0,'SA Oct 2019'!R32=""&gt;0),IF(($C$49*$C$50&lt;'SA Oct 2019'!P32),(0),($C$49*$C$50-'SA Oct 2019'!P32)*'SA Oct 2019'!Q32/100),0)))</f>
        <v>0</v>
      </c>
      <c r="H54" s="51">
        <f>($C$49*$C$51)*'SA Oct 2019'!W32/100</f>
        <v>368.31818181818181</v>
      </c>
      <c r="I54" s="52">
        <f>SUM(C54:H54)</f>
        <v>1760.9968181818183</v>
      </c>
      <c r="J54" s="109">
        <f>(I54-C54)*4</f>
        <v>6758.909090909091</v>
      </c>
      <c r="K54" s="109">
        <f t="shared" ref="K54:K66" si="24">I54*4</f>
        <v>7043.9872727272732</v>
      </c>
      <c r="L54" s="53">
        <f t="shared" ref="L54:L69" si="25">K54*1.1</f>
        <v>7748.3860000000013</v>
      </c>
      <c r="M54" s="54">
        <f>'SA Oct 2019'!BB32</f>
        <v>0</v>
      </c>
      <c r="N54" s="54">
        <f>'SA Oct 2019'!BC32</f>
        <v>0</v>
      </c>
      <c r="O54" s="54">
        <f>'SA Oct 2019'!BD32</f>
        <v>0</v>
      </c>
      <c r="P54" s="54">
        <f>'SA Oct 2019'!BE32</f>
        <v>0</v>
      </c>
      <c r="Q54" s="110" t="str">
        <f t="shared" ref="Q54:Q60" si="26">IF(SUM(M54:P54)=0,"No discount",IF(M54&gt;0,"Guaranteed off bill",IF(N54&gt;0,"Guaranteed off usage",IF(O54&gt;0,"Pay-on-time off bill","Pay-on-time off usage"))))</f>
        <v>No discount</v>
      </c>
      <c r="R54" s="73" t="str">
        <f t="shared" ref="R54:R60" si="27">IF(OR(A54="Origin Energy",A54="Red Energy",A54="Powershop"),"Inclusive","Exclusive")</f>
        <v>Exclusive</v>
      </c>
      <c r="S54" s="111">
        <f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7043.9872727272732</v>
      </c>
      <c r="T54" s="112">
        <f>IF(AND(Q54="Pay-on-time off bill",R54="Inclusive"),((S54*1.1)-((S54*1.1)*O54/100))/1.1,IF(AND(Q54="Pay-on-time off usage",R54="Inclusive"),((S54*1.1)-((J54*1.1)*P54/100))/1.1,IF(AND(Q54="Pay-on-time off bill",R54="Exclusive"),S54-(S54*O54/100),IF(AND(Q54="Pay-on-time off usage",R54="Exclusive"),S54-(J54*P54/100),IF(R54="Inclusive",((S54*1.1))/1.1,S54)))))</f>
        <v>7043.9872727272732</v>
      </c>
      <c r="U54" s="97">
        <f>S54*1.1</f>
        <v>7748.3860000000013</v>
      </c>
      <c r="V54" s="98">
        <f>T54*1.1</f>
        <v>7748.3860000000013</v>
      </c>
      <c r="W54" s="55">
        <f>'SA Oct 2019'!BL32</f>
        <v>0</v>
      </c>
      <c r="X54" s="56" t="str">
        <f>'SA Oct 2019'!BM32</f>
        <v>n</v>
      </c>
    </row>
    <row r="55" spans="1:53" x14ac:dyDescent="0.15">
      <c r="A55" s="70" t="str">
        <f>'SA Oct 2019'!K33</f>
        <v>Alinta Energy</v>
      </c>
      <c r="B55" s="49" t="str">
        <f>'SA Oct 2019'!L33</f>
        <v>Business Advantage</v>
      </c>
      <c r="C55" s="46">
        <f>IF('SA Oct 2019'!BP33=0,91*'SA Oct 2019'!M33/100,(91*'SA Oct 2019'!M33/100)+'SA Oct 2019'!BP33/4)</f>
        <v>82.355000000000004</v>
      </c>
      <c r="D55" s="46">
        <f>IF('SA Oct 2019'!O33="",$C$49*$C$50*'SA Oct 2019'!N33/100,IF($C$49*$C$50&gt;='SA Oct 2019'!P33,('SA Oct 2019'!P33*'SA Oct 2019'!N33/100),($C$49*$C$50*'SA Oct 2019'!N33/100)))</f>
        <v>1350.0454545454545</v>
      </c>
      <c r="E55" s="46">
        <f>IF(AND('SA Oct 2019'!P33&gt;0,'SA Oct 2019'!R33&gt;0),IF($C$49*$C$50&lt;'SA Oct 2019'!P33,0,IF($C$49*$C$50&lt;=('SA Oct 2019'!R33+'SA Oct 2019'!P33),(($C$49*$C$50-'SA Oct 2019'!P33)*'SA Oct 2019'!Q33/100),(('SA Oct 2019'!R33)*'SA Oct 2019'!Q33/100))),0)</f>
        <v>0</v>
      </c>
      <c r="F55" s="46">
        <f>IF(AND('SA Oct 2019'!Q19&gt;0,'SA Oct 2019'!S19&gt;0),IF($C$49*$C$50&lt;('SA Oct 2019'!R19+'SA Oct 2019'!P19),0,IF($C$49*$C$50&lt;=('SA Oct 2019'!T19+'SA Oct 2019'!R19+'SA Oct 2019'!P19),(($C$49*$C$50-('SA Oct 2019'!R19+'SA Oct 2019'!P19))*'SA Oct 2019'!S19/100),('SA Oct 2019'!T19*'SA Oct 2019'!S19/100))),0)</f>
        <v>0</v>
      </c>
      <c r="G55" s="50">
        <f>IF(AND('SA Oct 2019'!R33&gt;0,'SA Oct 2019'!T33&gt;0),IF(($C$49*$C$50&lt;'SA Oct 2019'!T33),(0),($C$49*$C$50-'SA Oct 2019'!T33)*'SA Oct 2019'!U33/100),IF(AND('SA Oct 2019'!R33&gt;0,'SA Oct 2019'!T33=""),IF(($C$49*$C$50&lt;'SA Oct 2019'!R33+'SA Oct 2019'!P33),(0),(($C$49*$C$50-('SA Oct 2019'!R33+'SA Oct 2019'!P33))*'SA Oct 2019'!S33/100)),IF(AND('SA Oct 2019'!P33&gt;0,'SA Oct 2019'!R33=""&gt;0),IF(($C$49*$C$50&lt;'SA Oct 2019'!P33),(0),($C$49*$C$50-'SA Oct 2019'!P33)*'SA Oct 2019'!Q33/100),0)))</f>
        <v>0</v>
      </c>
      <c r="H55" s="51">
        <f>($C$49*$C$51)*'SA Oct 2019'!W33/100</f>
        <v>345.40909090909088</v>
      </c>
      <c r="I55" s="52">
        <f t="shared" ref="I55:I69" si="28">SUM(C55:H55)</f>
        <v>1777.8095454545455</v>
      </c>
      <c r="J55" s="109">
        <f t="shared" ref="J55:J66" si="29">(I55-C55)*4</f>
        <v>6781.818181818182</v>
      </c>
      <c r="K55" s="109">
        <f t="shared" si="24"/>
        <v>7111.2381818181821</v>
      </c>
      <c r="L55" s="53">
        <f t="shared" si="25"/>
        <v>7822.362000000001</v>
      </c>
      <c r="M55" s="54">
        <f>'SA Oct 2019'!BB33</f>
        <v>0</v>
      </c>
      <c r="N55" s="54">
        <f>'SA Oct 2019'!BC33</f>
        <v>0</v>
      </c>
      <c r="O55" s="54">
        <f>'SA Oct 2019'!BD33</f>
        <v>0</v>
      </c>
      <c r="P55" s="54">
        <f>'SA Oct 2019'!BE33</f>
        <v>0</v>
      </c>
      <c r="Q55" s="110" t="str">
        <f t="shared" si="26"/>
        <v>No discount</v>
      </c>
      <c r="R55" s="73" t="str">
        <f t="shared" si="27"/>
        <v>Exclusive</v>
      </c>
      <c r="S55" s="111">
        <f>IF(AND(Q55="Guaranteed off bill",R55="Inclusive"),((K55*1.1)-((K55*1.1)*M55/100))/1.1,IF(AND(Q55="Guaranteed off usage",R55="Inclusive"),((K55*1.1)-((J55*1.1)*N55/100))/1.1,IF(AND(Q55="Guaranteed off bill",R55="Exclusive"),K55-(K55*M55/100),IF(AND(Q55="Guaranteed off usage",R55="Exclusive"),K55-(J55*N55/100),IF(R55="Inclusive",((K55*1.1))/1.1,K55)))))</f>
        <v>7111.2381818181821</v>
      </c>
      <c r="T55" s="112">
        <f>IF(AND(Q55="Pay-on-time off bill",R55="Inclusive"),((S55*1.1)-((S55*1.1)*O55/100))/1.1,IF(AND(Q55="Pay-on-time off usage",R55="Inclusive"),((S55*1.1)-((J55*1.1)*P55/100))/1.1,IF(AND(Q55="Pay-on-time off bill",R55="Exclusive"),S55-(S55*O55/100),IF(AND(Q55="Pay-on-time off usage",R55="Exclusive"),S55-(J55*P55/100),IF(R55="Inclusive",((S55*1.1))/1.1,S55)))))</f>
        <v>7111.2381818181821</v>
      </c>
      <c r="U55" s="97">
        <f t="shared" ref="U55:U66" si="30">S55*1.1</f>
        <v>7822.362000000001</v>
      </c>
      <c r="V55" s="98">
        <f t="shared" ref="V55:V66" si="31">T55*1.1</f>
        <v>7822.362000000001</v>
      </c>
      <c r="W55" s="55">
        <f>'SA Oct 2019'!BL33</f>
        <v>0</v>
      </c>
      <c r="X55" s="56" t="str">
        <f>'SA Oct 2019'!BM33</f>
        <v>n</v>
      </c>
    </row>
    <row r="56" spans="1:53" x14ac:dyDescent="0.15">
      <c r="A56" s="70" t="str">
        <f>'SA Oct 2019'!K34</f>
        <v>Click Energy</v>
      </c>
      <c r="B56" s="49" t="str">
        <f>'SA Oct 2019'!L34</f>
        <v>Click Business Start</v>
      </c>
      <c r="C56" s="46">
        <f>IF('SA Oct 2019'!BP34=0,91*'SA Oct 2019'!M34/100,(91*'SA Oct 2019'!M34/100)+'SA Oct 2019'!BP34/4)</f>
        <v>64.48590909090909</v>
      </c>
      <c r="D56" s="46">
        <f>IF('SA Oct 2019'!O34="",$C$49*$C$50*'SA Oct 2019'!N34/100,IF($C$49*$C$50&gt;='SA Oct 2019'!P34,('SA Oct 2019'!P34*'SA Oct 2019'!N34/100),($C$49*$C$50*'SA Oct 2019'!N34/100)))</f>
        <v>1264.1363636363633</v>
      </c>
      <c r="E56" s="46">
        <f>IF(AND('SA Oct 2019'!P34&gt;0,'SA Oct 2019'!R34&gt;0),IF($C$49*$C$50&lt;'SA Oct 2019'!P34,0,IF($C$49*$C$50&lt;=('SA Oct 2019'!R34+'SA Oct 2019'!P34),(($C$49*$C$50-'SA Oct 2019'!P34)*'SA Oct 2019'!Q34/100),(('SA Oct 2019'!R34)*'SA Oct 2019'!Q34/100))),0)</f>
        <v>0</v>
      </c>
      <c r="F56" s="46">
        <f>IF(AND('SA Oct 2019'!Q20&gt;0,'SA Oct 2019'!S20&gt;0),IF($C$49*$C$50&lt;('SA Oct 2019'!R20+'SA Oct 2019'!P20),0,IF($C$49*$C$50&lt;=('SA Oct 2019'!T20+'SA Oct 2019'!R20+'SA Oct 2019'!P20),(($C$49*$C$50-('SA Oct 2019'!R20+'SA Oct 2019'!P20))*'SA Oct 2019'!S20/100),('SA Oct 2019'!T20*'SA Oct 2019'!S20/100))),0)</f>
        <v>0</v>
      </c>
      <c r="G56" s="50">
        <f>IF(AND('SA Oct 2019'!R34&gt;0,'SA Oct 2019'!T34&gt;0),IF(($C$49*$C$50&lt;'SA Oct 2019'!T34),(0),($C$49*$C$50-'SA Oct 2019'!T34)*'SA Oct 2019'!U34/100),IF(AND('SA Oct 2019'!R34&gt;0,'SA Oct 2019'!T34=""),IF(($C$49*$C$50&lt;'SA Oct 2019'!R34+'SA Oct 2019'!P34),(0),(($C$49*$C$50-('SA Oct 2019'!R34+'SA Oct 2019'!P34))*'SA Oct 2019'!S34/100)),IF(AND('SA Oct 2019'!P34&gt;0,'SA Oct 2019'!R34=""&gt;0),IF(($C$49*$C$50&lt;'SA Oct 2019'!P34),(0),($C$49*$C$50-'SA Oct 2019'!P34)*'SA Oct 2019'!Q34/100),0)))</f>
        <v>0</v>
      </c>
      <c r="H56" s="51">
        <f>($C$49*$C$51)*'SA Oct 2019'!W34/100</f>
        <v>469.49999999999994</v>
      </c>
      <c r="I56" s="52">
        <f t="shared" si="28"/>
        <v>1798.1222727272723</v>
      </c>
      <c r="J56" s="109">
        <f t="shared" si="29"/>
        <v>6934.5454545454531</v>
      </c>
      <c r="K56" s="109">
        <f t="shared" si="24"/>
        <v>7192.4890909090891</v>
      </c>
      <c r="L56" s="53">
        <f t="shared" si="25"/>
        <v>7911.7379999999985</v>
      </c>
      <c r="M56" s="54">
        <f>'SA Oct 2019'!BB34</f>
        <v>0</v>
      </c>
      <c r="N56" s="54">
        <f>'SA Oct 2019'!BC34</f>
        <v>0</v>
      </c>
      <c r="O56" s="54">
        <f>'SA Oct 2019'!BD34</f>
        <v>0</v>
      </c>
      <c r="P56" s="54">
        <f>'SA Oct 2019'!BE34</f>
        <v>0</v>
      </c>
      <c r="Q56" s="110" t="str">
        <f t="shared" si="26"/>
        <v>No discount</v>
      </c>
      <c r="R56" s="73" t="str">
        <f t="shared" si="27"/>
        <v>Exclusive</v>
      </c>
      <c r="S56" s="111">
        <f t="shared" ref="S56:S66" si="32">IF(AND(Q56="Guaranteed off bill",R56="Inclusive"),((K56*1.1)-((K56*1.1)*M56/100))/1.1,IF(AND(Q56="Guaranteed off usage",R56="Inclusive"),((K56*1.1)-((J56*1.1)*N56/100))/1.1,IF(AND(Q56="Guaranteed off bill",R56="Exclusive"),K56-(K56*M56/100),IF(AND(Q56="Guaranteed off usage",R56="Exclusive"),K56-(J56*N56/100),IF(R56="Inclusive",((K56*1.1))/1.1,K56)))))</f>
        <v>7192.4890909090891</v>
      </c>
      <c r="T56" s="112">
        <f t="shared" ref="T56:T66" si="33">IF(AND(Q56="Pay-on-time off bill",R56="Inclusive"),((S56*1.1)-((S56*1.1)*O56/100))/1.1,IF(AND(Q56="Pay-on-time off usage",R56="Inclusive"),((S56*1.1)-((J56*1.1)*P56/100))/1.1,IF(AND(Q56="Pay-on-time off bill",R56="Exclusive"),S56-(S56*O56/100),IF(AND(Q56="Pay-on-time off usage",R56="Exclusive"),S56-(J56*P56/100),IF(R56="Inclusive",((S56*1.1))/1.1,S56)))))</f>
        <v>7192.4890909090891</v>
      </c>
      <c r="U56" s="97">
        <f t="shared" si="30"/>
        <v>7911.7379999999985</v>
      </c>
      <c r="V56" s="98">
        <f t="shared" si="31"/>
        <v>7911.7379999999985</v>
      </c>
      <c r="W56" s="55">
        <f>'SA Oct 2019'!BL34</f>
        <v>0</v>
      </c>
      <c r="X56" s="56" t="str">
        <f>'SA Oct 2019'!BM34</f>
        <v>n</v>
      </c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</row>
    <row r="57" spans="1:53" x14ac:dyDescent="0.15">
      <c r="A57" s="70" t="str">
        <f>'SA Oct 2019'!K35</f>
        <v>Commander</v>
      </c>
      <c r="B57" s="49" t="str">
        <f>'SA Oct 2019'!L35</f>
        <v>Market offer</v>
      </c>
      <c r="C57" s="46">
        <f>IF('SA Oct 2019'!BP35=0,91*'SA Oct 2019'!M35/100,(91*'SA Oct 2019'!M35/100)+'SA Oct 2019'!BP35/4)</f>
        <v>87.053909090909087</v>
      </c>
      <c r="D57" s="46">
        <f>IF('SA Oct 2019'!O35="",$C$49*$C$50*'SA Oct 2019'!N35/100,IF($C$49*$C$50&gt;='SA Oct 2019'!P35,('SA Oct 2019'!P35*'SA Oct 2019'!N35/100),($C$49*$C$50*'SA Oct 2019'!N35/100)))</f>
        <v>1321.7272727272727</v>
      </c>
      <c r="E57" s="46">
        <f>IF(AND('SA Oct 2019'!P35&gt;0,'SA Oct 2019'!R35&gt;0),IF($C$49*$C$50&lt;'SA Oct 2019'!P35,0,IF($C$49*$C$50&lt;=('SA Oct 2019'!R35+'SA Oct 2019'!P35),(($C$49*$C$50-'SA Oct 2019'!P35)*'SA Oct 2019'!Q35/100),(('SA Oct 2019'!R35)*'SA Oct 2019'!Q35/100))),0)</f>
        <v>0</v>
      </c>
      <c r="F57" s="46">
        <f>IF(AND('SA Oct 2019'!Q21&gt;0,'SA Oct 2019'!S21&gt;0),IF($C$49*$C$50&lt;('SA Oct 2019'!R21+'SA Oct 2019'!P21),0,IF($C$49*$C$50&lt;=('SA Oct 2019'!T21+'SA Oct 2019'!R21+'SA Oct 2019'!P21),(($C$49*$C$50-('SA Oct 2019'!R21+'SA Oct 2019'!P21))*'SA Oct 2019'!S21/100),('SA Oct 2019'!T21*'SA Oct 2019'!S21/100))),0)</f>
        <v>0</v>
      </c>
      <c r="G57" s="50">
        <f>IF(AND('SA Oct 2019'!R35&gt;0,'SA Oct 2019'!T35&gt;0),IF(($C$49*$C$50&lt;'SA Oct 2019'!T35),(0),($C$49*$C$50-'SA Oct 2019'!T35)*'SA Oct 2019'!U35/100),IF(AND('SA Oct 2019'!R35&gt;0,'SA Oct 2019'!T35=""),IF(($C$49*$C$50&lt;'SA Oct 2019'!R35+'SA Oct 2019'!P35),(0),(($C$49*$C$50-('SA Oct 2019'!R35+'SA Oct 2019'!P35))*'SA Oct 2019'!S35/100)),IF(AND('SA Oct 2019'!P35&gt;0,'SA Oct 2019'!R35=""&gt;0),IF(($C$49*$C$50&lt;'SA Oct 2019'!P35),(0),($C$49*$C$50-'SA Oct 2019'!P35)*'SA Oct 2019'!Q35/100),0)))</f>
        <v>0</v>
      </c>
      <c r="H57" s="51">
        <f>($C$49*$C$51)*'SA Oct 2019'!W35/100</f>
        <v>401.99999999999994</v>
      </c>
      <c r="I57" s="52">
        <f t="shared" si="28"/>
        <v>1810.7811818181817</v>
      </c>
      <c r="J57" s="109">
        <f t="shared" si="29"/>
        <v>6894.9090909090901</v>
      </c>
      <c r="K57" s="109">
        <f t="shared" si="24"/>
        <v>7243.1247272727269</v>
      </c>
      <c r="L57" s="53">
        <f t="shared" si="25"/>
        <v>7967.4372000000003</v>
      </c>
      <c r="M57" s="54">
        <f>'SA Oct 2019'!BB35</f>
        <v>0</v>
      </c>
      <c r="N57" s="54">
        <f>'SA Oct 2019'!BC35</f>
        <v>0</v>
      </c>
      <c r="O57" s="54">
        <f>'SA Oct 2019'!BD35</f>
        <v>0</v>
      </c>
      <c r="P57" s="54">
        <f>'SA Oct 2019'!BE35</f>
        <v>0</v>
      </c>
      <c r="Q57" s="110" t="str">
        <f t="shared" si="26"/>
        <v>No discount</v>
      </c>
      <c r="R57" s="73" t="str">
        <f t="shared" si="27"/>
        <v>Exclusive</v>
      </c>
      <c r="S57" s="111">
        <f t="shared" si="32"/>
        <v>7243.1247272727269</v>
      </c>
      <c r="T57" s="112">
        <f t="shared" si="33"/>
        <v>7243.1247272727269</v>
      </c>
      <c r="U57" s="97">
        <f t="shared" si="30"/>
        <v>7967.4372000000003</v>
      </c>
      <c r="V57" s="98">
        <f t="shared" si="31"/>
        <v>7967.4372000000003</v>
      </c>
      <c r="W57" s="55">
        <f>'SA Oct 2019'!BL35</f>
        <v>0</v>
      </c>
      <c r="X57" s="56" t="str">
        <f>'SA Oct 2019'!BM35</f>
        <v>n</v>
      </c>
    </row>
    <row r="58" spans="1:53" x14ac:dyDescent="0.15">
      <c r="A58" s="70" t="str">
        <f>'SA Oct 2019'!K36</f>
        <v>Diamond Energy</v>
      </c>
      <c r="B58" s="49" t="str">
        <f>'SA Oct 2019'!L36</f>
        <v>Renewable Saver POT</v>
      </c>
      <c r="C58" s="46">
        <f>IF('SA Oct 2019'!BP36=0,91*'SA Oct 2019'!M36/100,(91*'SA Oct 2019'!M36/100)+'SA Oct 2019'!BP36/4)</f>
        <v>82.313636363636363</v>
      </c>
      <c r="D58" s="46">
        <f>IF('SA Oct 2019'!O36="",$C$49*$C$50*'SA Oct 2019'!N36/100,IF($C$49*$C$50&gt;='SA Oct 2019'!P36,('SA Oct 2019'!P36*'SA Oct 2019'!N36/100),($C$49*$C$50*'SA Oct 2019'!N36/100)))</f>
        <v>380.90909090909088</v>
      </c>
      <c r="E58" s="46">
        <f>IF(AND('SA Oct 2019'!P36&gt;0,'SA Oct 2019'!R36&gt;0),IF($C$49*$C$50&lt;'SA Oct 2019'!P36,0,IF($C$49*$C$50&lt;=('SA Oct 2019'!R36+'SA Oct 2019'!P36),(($C$49*$C$50-'SA Oct 2019'!P36)*'SA Oct 2019'!Q36/100),(('SA Oct 2019'!R36)*'SA Oct 2019'!Q36/100))),0)</f>
        <v>580.90909090909088</v>
      </c>
      <c r="F58" s="46">
        <f>IF(AND('SA Oct 2019'!Q22&gt;0,'SA Oct 2019'!S22&gt;0),IF($C$49*$C$50&lt;('SA Oct 2019'!R22+'SA Oct 2019'!P22),0,IF($C$49*$C$50&lt;=('SA Oct 2019'!T22+'SA Oct 2019'!R22+'SA Oct 2019'!P22),(($C$49*$C$50-('SA Oct 2019'!R22+'SA Oct 2019'!P22))*'SA Oct 2019'!S22/100),('SA Oct 2019'!T22*'SA Oct 2019'!S22/100))),0)</f>
        <v>0</v>
      </c>
      <c r="G58" s="50">
        <f>IF(AND('SA Oct 2019'!R36&gt;0,'SA Oct 2019'!T36&gt;0),IF(($C$49*$C$50&lt;'SA Oct 2019'!T36),(0),($C$49*$C$50-'SA Oct 2019'!T36)*'SA Oct 2019'!U36/100),IF(AND('SA Oct 2019'!R36&gt;0,'SA Oct 2019'!T36=""),IF(($C$49*$C$50&lt;'SA Oct 2019'!R36+'SA Oct 2019'!P36),(0),(($C$49*$C$50-('SA Oct 2019'!R36+'SA Oct 2019'!P36))*'SA Oct 2019'!S36/100)),IF(AND('SA Oct 2019'!P36&gt;0,'SA Oct 2019'!R36=""&gt;0),IF(($C$49*$C$50&lt;'SA Oct 2019'!P36),(0),($C$49*$C$50-'SA Oct 2019'!P36)*'SA Oct 2019'!Q36/100),0)))</f>
        <v>408.18181818181819</v>
      </c>
      <c r="H58" s="51">
        <f>($C$49*$C$51)*'SA Oct 2019'!W36/100</f>
        <v>381.13636363636363</v>
      </c>
      <c r="I58" s="52">
        <f t="shared" si="28"/>
        <v>1833.4499999999998</v>
      </c>
      <c r="J58" s="109">
        <f t="shared" si="29"/>
        <v>7004.545454545454</v>
      </c>
      <c r="K58" s="109">
        <f t="shared" si="24"/>
        <v>7333.7999999999993</v>
      </c>
      <c r="L58" s="53">
        <f t="shared" si="25"/>
        <v>8067.18</v>
      </c>
      <c r="M58" s="54">
        <f>'SA Oct 2019'!BB36</f>
        <v>0</v>
      </c>
      <c r="N58" s="54">
        <f>'SA Oct 2019'!BC36</f>
        <v>0</v>
      </c>
      <c r="O58" s="54">
        <f>'SA Oct 2019'!BD36</f>
        <v>7</v>
      </c>
      <c r="P58" s="54">
        <f>'SA Oct 2019'!BE36</f>
        <v>0</v>
      </c>
      <c r="Q58" s="110" t="str">
        <f t="shared" si="26"/>
        <v>Pay-on-time off bill</v>
      </c>
      <c r="R58" s="73" t="str">
        <f t="shared" si="27"/>
        <v>Exclusive</v>
      </c>
      <c r="S58" s="111">
        <f t="shared" si="32"/>
        <v>7333.7999999999993</v>
      </c>
      <c r="T58" s="112">
        <f t="shared" si="33"/>
        <v>6820.4339999999993</v>
      </c>
      <c r="U58" s="97">
        <f t="shared" si="30"/>
        <v>8067.18</v>
      </c>
      <c r="V58" s="98">
        <f t="shared" si="31"/>
        <v>7502.4773999999998</v>
      </c>
      <c r="W58" s="55">
        <f>'SA Oct 2019'!BL36</f>
        <v>0</v>
      </c>
      <c r="X58" s="56" t="str">
        <f>'SA Oct 2019'!BM36</f>
        <v>n</v>
      </c>
    </row>
    <row r="59" spans="1:53" x14ac:dyDescent="0.15">
      <c r="A59" s="70" t="str">
        <f>'SA Oct 2019'!K37</f>
        <v>EnergyAustralia</v>
      </c>
      <c r="B59" s="49" t="str">
        <f>'SA Oct 2019'!L37</f>
        <v>Total Plan</v>
      </c>
      <c r="C59" s="46">
        <f>IF('SA Oct 2019'!BP37=0,91*'SA Oct 2019'!M37/100,(91*'SA Oct 2019'!M37/100)+'SA Oct 2019'!BP37/4)</f>
        <v>83.992999999999995</v>
      </c>
      <c r="D59" s="46">
        <f>IF('SA Oct 2019'!O37="",$C$49*$C$50*'SA Oct 2019'!N37/100,IF($C$49*$C$50&gt;='SA Oct 2019'!P37,('SA Oct 2019'!P37*'SA Oct 2019'!N37/100),($C$49*$C$50*'SA Oct 2019'!N37/100)))</f>
        <v>1889.65</v>
      </c>
      <c r="E59" s="46">
        <f>IF(AND('SA Oct 2019'!P37&gt;0,'SA Oct 2019'!R37&gt;0),IF($C$49*$C$50&lt;'SA Oct 2019'!P37,0,IF($C$49*$C$50&lt;=('SA Oct 2019'!R37+'SA Oct 2019'!P37),(($C$49*$C$50-'SA Oct 2019'!P37)*'SA Oct 2019'!Q37/100),(('SA Oct 2019'!R37)*'SA Oct 2019'!Q37/100))),0)</f>
        <v>0</v>
      </c>
      <c r="F59" s="46">
        <f>IF(AND('SA Oct 2019'!Q23&gt;0,'SA Oct 2019'!S23&gt;0),IF($C$49*$C$50&lt;('SA Oct 2019'!R23+'SA Oct 2019'!P23),0,IF($C$49*$C$50&lt;=('SA Oct 2019'!T23+'SA Oct 2019'!R23+'SA Oct 2019'!P23),(($C$49*$C$50-('SA Oct 2019'!R23+'SA Oct 2019'!P23))*'SA Oct 2019'!S23/100),('SA Oct 2019'!T23*'SA Oct 2019'!S23/100))),0)</f>
        <v>0</v>
      </c>
      <c r="G59" s="50">
        <f>IF(AND('SA Oct 2019'!R37&gt;0,'SA Oct 2019'!T37&gt;0),IF(($C$49*$C$50&lt;'SA Oct 2019'!T37),(0),($C$49*$C$50-'SA Oct 2019'!T37)*'SA Oct 2019'!U37/100),IF(AND('SA Oct 2019'!R37&gt;0,'SA Oct 2019'!T37=""),IF(($C$49*$C$50&lt;'SA Oct 2019'!R37+'SA Oct 2019'!P37),(0),(($C$49*$C$50-('SA Oct 2019'!R37+'SA Oct 2019'!P37))*'SA Oct 2019'!S37/100)),IF(AND('SA Oct 2019'!P37&gt;0,'SA Oct 2019'!R37=""&gt;0),IF(($C$49*$C$50&lt;'SA Oct 2019'!P37),(0),($C$49*$C$50-'SA Oct 2019'!P37)*'SA Oct 2019'!Q37/100),0)))</f>
        <v>0</v>
      </c>
      <c r="H59" s="51">
        <f>($C$49*$C$51)*'SA Oct 2019'!W37/100</f>
        <v>390.95454545454544</v>
      </c>
      <c r="I59" s="52">
        <f t="shared" si="28"/>
        <v>2364.5975454545455</v>
      </c>
      <c r="J59" s="109">
        <f t="shared" si="29"/>
        <v>9122.4181818181823</v>
      </c>
      <c r="K59" s="109">
        <f t="shared" si="24"/>
        <v>9458.3901818181821</v>
      </c>
      <c r="L59" s="53">
        <f t="shared" si="25"/>
        <v>10404.229200000002</v>
      </c>
      <c r="M59" s="54">
        <f>'SA Oct 2019'!BB37</f>
        <v>5</v>
      </c>
      <c r="N59" s="54">
        <f>'SA Oct 2019'!BC37</f>
        <v>0</v>
      </c>
      <c r="O59" s="54">
        <f>'SA Oct 2019'!BD37</f>
        <v>0</v>
      </c>
      <c r="P59" s="54">
        <f>'SA Oct 2019'!BE37</f>
        <v>0</v>
      </c>
      <c r="Q59" s="110" t="str">
        <f t="shared" si="26"/>
        <v>Guaranteed off bill</v>
      </c>
      <c r="R59" s="73" t="str">
        <f t="shared" si="27"/>
        <v>Exclusive</v>
      </c>
      <c r="S59" s="111">
        <f t="shared" si="32"/>
        <v>8985.4706727272733</v>
      </c>
      <c r="T59" s="112">
        <f t="shared" si="33"/>
        <v>8985.4706727272733</v>
      </c>
      <c r="U59" s="97">
        <f t="shared" si="30"/>
        <v>9884.0177400000011</v>
      </c>
      <c r="V59" s="98">
        <f t="shared" si="31"/>
        <v>9884.0177400000011</v>
      </c>
      <c r="W59" s="55">
        <f>'SA Oct 2019'!BL37</f>
        <v>0</v>
      </c>
      <c r="X59" s="56" t="str">
        <f>'SA Oct 2019'!BM37</f>
        <v>n</v>
      </c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</row>
    <row r="60" spans="1:53" x14ac:dyDescent="0.15">
      <c r="A60" s="70" t="str">
        <f>'SA Oct 2019'!K38</f>
        <v>Lumo Energy</v>
      </c>
      <c r="B60" s="49" t="str">
        <f>'SA Oct 2019'!L38</f>
        <v>Basic</v>
      </c>
      <c r="C60" s="46">
        <f>IF('SA Oct 2019'!BP38=0,91*'SA Oct 2019'!M38/100,(91*'SA Oct 2019'!M38/100)+'SA Oct 2019'!BP38/4)</f>
        <v>73.825818181818164</v>
      </c>
      <c r="D60" s="46">
        <f>IF('SA Oct 2019'!O38="",$C$49*$C$50*'SA Oct 2019'!N38/100,IF($C$49*$C$50&gt;='SA Oct 2019'!P38,('SA Oct 2019'!P38*'SA Oct 2019'!N38/100),($C$49*$C$50*'SA Oct 2019'!N38/100)))</f>
        <v>1230.7272727272727</v>
      </c>
      <c r="E60" s="46">
        <f>IF(AND('SA Oct 2019'!P38&gt;0,'SA Oct 2019'!R38&gt;0),IF($C$49*$C$50&lt;'SA Oct 2019'!P38,0,IF($C$49*$C$50&lt;=('SA Oct 2019'!R38+'SA Oct 2019'!P38),(($C$49*$C$50-'SA Oct 2019'!P38)*'SA Oct 2019'!Q38/100),(('SA Oct 2019'!R38)*'SA Oct 2019'!Q38/100))),0)</f>
        <v>0</v>
      </c>
      <c r="F60" s="46">
        <f>IF(AND('SA Oct 2019'!Q24&gt;0,'SA Oct 2019'!S24&gt;0),IF($C$49*$C$50&lt;('SA Oct 2019'!R24+'SA Oct 2019'!P24),0,IF($C$49*$C$50&lt;=('SA Oct 2019'!T24+'SA Oct 2019'!R24+'SA Oct 2019'!P24),(($C$49*$C$50-('SA Oct 2019'!R24+'SA Oct 2019'!P24))*'SA Oct 2019'!S24/100),('SA Oct 2019'!T24*'SA Oct 2019'!S24/100))),0)</f>
        <v>0</v>
      </c>
      <c r="G60" s="50">
        <f>IF(AND('SA Oct 2019'!R38&gt;0,'SA Oct 2019'!T38&gt;0),IF(($C$49*$C$50&lt;'SA Oct 2019'!T38),(0),($C$49*$C$50-'SA Oct 2019'!T38)*'SA Oct 2019'!U38/100),IF(AND('SA Oct 2019'!R38&gt;0,'SA Oct 2019'!T38=""),IF(($C$49*$C$50&lt;'SA Oct 2019'!R38+'SA Oct 2019'!P38),(0),(($C$49*$C$50-('SA Oct 2019'!R38+'SA Oct 2019'!P38))*'SA Oct 2019'!S38/100)),IF(AND('SA Oct 2019'!P38&gt;0,'SA Oct 2019'!R38=""&gt;0),IF(($C$49*$C$50&lt;'SA Oct 2019'!P38),(0),($C$49*$C$50-'SA Oct 2019'!P38)*'SA Oct 2019'!Q38/100),0)))</f>
        <v>0</v>
      </c>
      <c r="H60" s="51">
        <f>($C$49*$C$51)*'SA Oct 2019'!W38/100</f>
        <v>435.81818181818181</v>
      </c>
      <c r="I60" s="52">
        <f t="shared" si="28"/>
        <v>1740.3712727272728</v>
      </c>
      <c r="J60" s="109">
        <f t="shared" si="29"/>
        <v>6666.181818181818</v>
      </c>
      <c r="K60" s="109">
        <f t="shared" si="24"/>
        <v>6961.485090909091</v>
      </c>
      <c r="L60" s="53">
        <f t="shared" si="25"/>
        <v>7657.633600000001</v>
      </c>
      <c r="M60" s="54">
        <f>'SA Oct 2019'!BB38</f>
        <v>0</v>
      </c>
      <c r="N60" s="54">
        <f>'SA Oct 2019'!BC38</f>
        <v>0</v>
      </c>
      <c r="O60" s="54">
        <f>'SA Oct 2019'!BD38</f>
        <v>0</v>
      </c>
      <c r="P60" s="54">
        <f>'SA Oct 2019'!BE38</f>
        <v>0</v>
      </c>
      <c r="Q60" s="110" t="str">
        <f t="shared" si="26"/>
        <v>No discount</v>
      </c>
      <c r="R60" s="73" t="str">
        <f t="shared" si="27"/>
        <v>Exclusive</v>
      </c>
      <c r="S60" s="111">
        <f t="shared" si="32"/>
        <v>6961.485090909091</v>
      </c>
      <c r="T60" s="112">
        <f t="shared" si="33"/>
        <v>6961.485090909091</v>
      </c>
      <c r="U60" s="97">
        <f t="shared" si="30"/>
        <v>7657.633600000001</v>
      </c>
      <c r="V60" s="98">
        <f t="shared" si="31"/>
        <v>7657.633600000001</v>
      </c>
      <c r="W60" s="55">
        <f>'SA Oct 2019'!BL38</f>
        <v>0</v>
      </c>
      <c r="X60" s="56" t="str">
        <f>'SA Oct 2019'!BM38</f>
        <v>n</v>
      </c>
    </row>
    <row r="61" spans="1:53" x14ac:dyDescent="0.15">
      <c r="A61" s="70" t="str">
        <f>'SA Oct 2019'!K39</f>
        <v>Momentum Energy</v>
      </c>
      <c r="B61" s="49" t="str">
        <f>'SA Oct 2019'!L39</f>
        <v>SmilePower Flexi</v>
      </c>
      <c r="C61" s="46">
        <f>IF('SA Oct 2019'!BP39=0,91*'SA Oct 2019'!M39/100,(91*'SA Oct 2019'!M39/100)+'SA Oct 2019'!BP39/4)</f>
        <v>117.12527272727273</v>
      </c>
      <c r="D61" s="46">
        <f>IF('SA Oct 2019'!O39="",$C$49*$C$50*'SA Oct 2019'!N39/100,IF($C$49*$C$50&gt;='SA Oct 2019'!P39,('SA Oct 2019'!P39*'SA Oct 2019'!N39/100),($C$49*$C$50*'SA Oct 2019'!N39/100)))</f>
        <v>1066.8636363636363</v>
      </c>
      <c r="E61" s="46">
        <f>IF(AND('SA Oct 2019'!P39&gt;0,'SA Oct 2019'!R39&gt;0),IF($C$49*$C$50&lt;'SA Oct 2019'!P39,0,IF($C$49*$C$50&lt;=('SA Oct 2019'!R39+'SA Oct 2019'!P39),(($C$49*$C$50-'SA Oct 2019'!P39)*'SA Oct 2019'!Q39/100),(('SA Oct 2019'!R39)*'SA Oct 2019'!Q39/100))),0)</f>
        <v>0</v>
      </c>
      <c r="F61" s="46">
        <f>IF(AND('SA Oct 2019'!Q25&gt;0,'SA Oct 2019'!S25&gt;0),IF($C$49*$C$50&lt;('SA Oct 2019'!R25+'SA Oct 2019'!P25),0,IF($C$49*$C$50&lt;=('SA Oct 2019'!T25+'SA Oct 2019'!R25+'SA Oct 2019'!P25),(($C$49*$C$50-('SA Oct 2019'!R25+'SA Oct 2019'!P25))*'SA Oct 2019'!S25/100),('SA Oct 2019'!T25*'SA Oct 2019'!S25/100))),0)</f>
        <v>0</v>
      </c>
      <c r="G61" s="50">
        <f>IF(AND('SA Oct 2019'!R39&gt;0,'SA Oct 2019'!T39&gt;0),IF(($C$49*$C$50&lt;'SA Oct 2019'!T39),(0),($C$49*$C$50-'SA Oct 2019'!T39)*'SA Oct 2019'!U39/100),IF(AND('SA Oct 2019'!R39&gt;0,'SA Oct 2019'!T39=""),IF(($C$49*$C$50&lt;'SA Oct 2019'!R39+'SA Oct 2019'!P39),(0),(($C$49*$C$50-('SA Oct 2019'!R39+'SA Oct 2019'!P39))*'SA Oct 2019'!S39/100)),IF(AND('SA Oct 2019'!P39&gt;0,'SA Oct 2019'!R39=""&gt;0),IF(($C$49*$C$50&lt;'SA Oct 2019'!P39),(0),($C$49*$C$50-'SA Oct 2019'!P39)*'SA Oct 2019'!Q39/100),0)))</f>
        <v>0</v>
      </c>
      <c r="H61" s="51">
        <f>($C$49*$C$51)*'SA Oct 2019'!W39/100</f>
        <v>318.13636363636363</v>
      </c>
      <c r="I61" s="52">
        <f t="shared" si="28"/>
        <v>1502.1252727272727</v>
      </c>
      <c r="J61" s="109">
        <f t="shared" si="29"/>
        <v>5540</v>
      </c>
      <c r="K61" s="109">
        <f t="shared" si="24"/>
        <v>6008.5010909090906</v>
      </c>
      <c r="L61" s="53">
        <f t="shared" si="25"/>
        <v>6609.3512000000001</v>
      </c>
      <c r="M61" s="54">
        <f>'SA Oct 2019'!BB39</f>
        <v>0</v>
      </c>
      <c r="N61" s="54">
        <f>'SA Oct 2019'!BC39</f>
        <v>0</v>
      </c>
      <c r="O61" s="54">
        <f>'SA Oct 2019'!BD39</f>
        <v>0</v>
      </c>
      <c r="P61" s="54">
        <f>'SA Oct 2019'!BE39</f>
        <v>0</v>
      </c>
      <c r="Q61" s="110" t="str">
        <f t="shared" ref="Q61:Q64" si="34">IF(SUM(M61:P61)=0,"No discount",IF(M61&gt;0,"Guaranteed off bill",IF(N61&gt;0,"Guaranteed off usage",IF(O61&gt;0,"Pay-on-time off bill","Pay-on-time off usage"))))</f>
        <v>No discount</v>
      </c>
      <c r="R61" s="73" t="str">
        <f t="shared" ref="R61:R64" si="35">IF(OR(A61="Origin Energy",A61="Red Energy",A61="Powershop"),"Inclusive","Exclusive")</f>
        <v>Exclusive</v>
      </c>
      <c r="S61" s="111">
        <f t="shared" si="32"/>
        <v>6008.5010909090906</v>
      </c>
      <c r="T61" s="112">
        <f t="shared" si="33"/>
        <v>6008.5010909090906</v>
      </c>
      <c r="U61" s="97">
        <f t="shared" si="30"/>
        <v>6609.3512000000001</v>
      </c>
      <c r="V61" s="98">
        <f t="shared" si="31"/>
        <v>6609.3512000000001</v>
      </c>
      <c r="W61" s="55">
        <f>'SA Oct 2019'!BL39</f>
        <v>0</v>
      </c>
      <c r="X61" s="56" t="str">
        <f>'SA Oct 2019'!BM39</f>
        <v>n</v>
      </c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</row>
    <row r="62" spans="1:53" x14ac:dyDescent="0.15">
      <c r="A62" s="70" t="str">
        <f>'SA Oct 2019'!K40</f>
        <v>Origin Energy</v>
      </c>
      <c r="B62" s="49" t="str">
        <f>'SA Oct 2019'!L40</f>
        <v xml:space="preserve">Flexi </v>
      </c>
      <c r="C62" s="46">
        <f>IF('SA Oct 2019'!BP40=0,91*'SA Oct 2019'!M40/100,(91*'SA Oct 2019'!M40/100)+'SA Oct 2019'!BP40/4)</f>
        <v>81.693181818181813</v>
      </c>
      <c r="D62" s="46">
        <f>IF('SA Oct 2019'!O40="",$C$49*$C$50*'SA Oct 2019'!N40/100,IF($C$49*$C$50&gt;='SA Oct 2019'!P40,('SA Oct 2019'!P40*'SA Oct 2019'!N40/100),($C$49*$C$50*'SA Oct 2019'!N40/100)))</f>
        <v>1473.5</v>
      </c>
      <c r="E62" s="46">
        <f>IF(AND('SA Oct 2019'!P40&gt;0,'SA Oct 2019'!R40&gt;0),IF($C$49*$C$50&lt;'SA Oct 2019'!P40,0,IF($C$49*$C$50&lt;=('SA Oct 2019'!R40+'SA Oct 2019'!P40),(($C$49*$C$50-'SA Oct 2019'!P40)*'SA Oct 2019'!Q40/100),(('SA Oct 2019'!R40)*'SA Oct 2019'!Q40/100))),0)</f>
        <v>0</v>
      </c>
      <c r="F62" s="46">
        <f>IF(AND('SA Oct 2019'!Q26&gt;0,'SA Oct 2019'!S26&gt;0),IF($C$49*$C$50&lt;('SA Oct 2019'!R26+'SA Oct 2019'!P26),0,IF($C$49*$C$50&lt;=('SA Oct 2019'!T26+'SA Oct 2019'!R26+'SA Oct 2019'!P26),(($C$49*$C$50-('SA Oct 2019'!R26+'SA Oct 2019'!P26))*'SA Oct 2019'!S26/100),('SA Oct 2019'!T26*'SA Oct 2019'!S26/100))),0)</f>
        <v>0</v>
      </c>
      <c r="G62" s="50">
        <f>IF(AND('SA Oct 2019'!R40&gt;0,'SA Oct 2019'!T40&gt;0),IF(($C$49*$C$50&lt;'SA Oct 2019'!T40),(0),($C$49*$C$50-'SA Oct 2019'!T40)*'SA Oct 2019'!U40/100),IF(AND('SA Oct 2019'!R40&gt;0,'SA Oct 2019'!T40=""),IF(($C$49*$C$50&lt;'SA Oct 2019'!R40+'SA Oct 2019'!P40),(0),(($C$49*$C$50-('SA Oct 2019'!R40+'SA Oct 2019'!P40))*'SA Oct 2019'!S40/100)),IF(AND('SA Oct 2019'!P40&gt;0,'SA Oct 2019'!R40=""&gt;0),IF(($C$49*$C$50&lt;'SA Oct 2019'!P40),(0),($C$49*$C$50-'SA Oct 2019'!P40)*'SA Oct 2019'!Q40/100),0)))</f>
        <v>0</v>
      </c>
      <c r="H62" s="51">
        <f>($C$49*$C$51)*'SA Oct 2019'!W40/100</f>
        <v>410.04545454545456</v>
      </c>
      <c r="I62" s="52">
        <f t="shared" si="28"/>
        <v>1965.2386363636363</v>
      </c>
      <c r="J62" s="109">
        <f t="shared" si="29"/>
        <v>7534.181818181818</v>
      </c>
      <c r="K62" s="109">
        <f t="shared" si="24"/>
        <v>7860.954545454545</v>
      </c>
      <c r="L62" s="53">
        <f t="shared" si="25"/>
        <v>8647.0500000000011</v>
      </c>
      <c r="M62" s="54">
        <f>'SA Oct 2019'!BB40</f>
        <v>14</v>
      </c>
      <c r="N62" s="54">
        <f>'SA Oct 2019'!BC40</f>
        <v>0</v>
      </c>
      <c r="O62" s="54">
        <f>'SA Oct 2019'!BD40</f>
        <v>0</v>
      </c>
      <c r="P62" s="54">
        <f>'SA Oct 2019'!BE40</f>
        <v>0</v>
      </c>
      <c r="Q62" s="110" t="str">
        <f t="shared" si="34"/>
        <v>Guaranteed off bill</v>
      </c>
      <c r="R62" s="73" t="str">
        <f t="shared" si="35"/>
        <v>Inclusive</v>
      </c>
      <c r="S62" s="111">
        <f t="shared" si="32"/>
        <v>6760.4209090909089</v>
      </c>
      <c r="T62" s="112">
        <f t="shared" si="33"/>
        <v>6760.4209090909089</v>
      </c>
      <c r="U62" s="97">
        <f t="shared" si="30"/>
        <v>7436.4630000000006</v>
      </c>
      <c r="V62" s="98">
        <f t="shared" si="31"/>
        <v>7436.4630000000006</v>
      </c>
      <c r="W62" s="55">
        <f>'SA Oct 2019'!BL40</f>
        <v>12</v>
      </c>
      <c r="X62" s="56" t="str">
        <f>'SA Oct 2019'!BM40</f>
        <v>y</v>
      </c>
      <c r="Z62" s="87"/>
      <c r="AB62" s="87"/>
      <c r="AD62" s="87"/>
      <c r="AF62" s="87"/>
      <c r="AH62" s="87"/>
      <c r="AJ62" s="87"/>
      <c r="AL62" s="87"/>
      <c r="AN62" s="87"/>
      <c r="AP62" s="87"/>
      <c r="AR62" s="87"/>
      <c r="AT62" s="87"/>
      <c r="AV62" s="87"/>
      <c r="AX62" s="87"/>
      <c r="AZ62" s="87"/>
    </row>
    <row r="63" spans="1:53" x14ac:dyDescent="0.15">
      <c r="A63" s="70" t="str">
        <f>'SA Oct 2019'!K41</f>
        <v>Powerdirect</v>
      </c>
      <c r="B63" s="49" t="str">
        <f>'SA Oct 2019'!L41</f>
        <v>Discount Saver</v>
      </c>
      <c r="C63" s="46">
        <f>IF('SA Oct 2019'!BP41=0,91*'SA Oct 2019'!M41/100,(91*'SA Oct 2019'!M41/100)+'SA Oct 2019'!BP41/4)</f>
        <v>80.989999999999995</v>
      </c>
      <c r="D63" s="46">
        <f>IF('SA Oct 2019'!O41="",$C$49*$C$50*'SA Oct 2019'!N41/100,IF($C$49*$C$50&gt;='SA Oct 2019'!P41,('SA Oct 2019'!P41*'SA Oct 2019'!N41/100),($C$49*$C$50*'SA Oct 2019'!N41/100)))</f>
        <v>1501.5</v>
      </c>
      <c r="E63" s="46">
        <f>IF(AND('SA Oct 2019'!P41&gt;0,'SA Oct 2019'!R41&gt;0),IF($C$49*$C$50&lt;'SA Oct 2019'!P41,0,IF($C$49*$C$50&lt;=('SA Oct 2019'!R41+'SA Oct 2019'!P41),(($C$49*$C$50-'SA Oct 2019'!P41)*'SA Oct 2019'!Q41/100),(('SA Oct 2019'!R41)*'SA Oct 2019'!Q41/100))),0)</f>
        <v>0</v>
      </c>
      <c r="F63" s="46">
        <f>IF(AND('SA Oct 2019'!Q27&gt;0,'SA Oct 2019'!S27&gt;0),IF($C$49*$C$50&lt;('SA Oct 2019'!R27+'SA Oct 2019'!P27),0,IF($C$49*$C$50&lt;=('SA Oct 2019'!T27+'SA Oct 2019'!R27+'SA Oct 2019'!P27),(($C$49*$C$50-('SA Oct 2019'!R27+'SA Oct 2019'!P27))*'SA Oct 2019'!S27/100),('SA Oct 2019'!T27*'SA Oct 2019'!S27/100))),0)</f>
        <v>0</v>
      </c>
      <c r="G63" s="50">
        <f>IF(AND('SA Oct 2019'!R41&gt;0,'SA Oct 2019'!T41&gt;0),IF(($C$49*$C$50&lt;'SA Oct 2019'!T41),(0),($C$49*$C$50-'SA Oct 2019'!T41)*'SA Oct 2019'!U41/100),IF(AND('SA Oct 2019'!R41&gt;0,'SA Oct 2019'!T41=""),IF(($C$49*$C$50&lt;'SA Oct 2019'!R41+'SA Oct 2019'!P41),(0),(($C$49*$C$50-('SA Oct 2019'!R41+'SA Oct 2019'!P41))*'SA Oct 2019'!S41/100)),IF(AND('SA Oct 2019'!P41&gt;0,'SA Oct 2019'!R41=""&gt;0),IF(($C$49*$C$50&lt;'SA Oct 2019'!P41),(0),($C$49*$C$50-'SA Oct 2019'!P41)*'SA Oct 2019'!Q41/100),0)))</f>
        <v>0</v>
      </c>
      <c r="H63" s="51">
        <f>($C$49*$C$51)*'SA Oct 2019'!W41/100</f>
        <v>418.5</v>
      </c>
      <c r="I63" s="52">
        <f t="shared" si="28"/>
        <v>2000.99</v>
      </c>
      <c r="J63" s="109">
        <f t="shared" si="29"/>
        <v>7680</v>
      </c>
      <c r="K63" s="109">
        <f t="shared" si="24"/>
        <v>8003.96</v>
      </c>
      <c r="L63" s="53">
        <f t="shared" si="25"/>
        <v>8804.3560000000016</v>
      </c>
      <c r="M63" s="54">
        <f>'SA Oct 2019'!BB41</f>
        <v>15</v>
      </c>
      <c r="N63" s="54">
        <f>'SA Oct 2019'!BC41</f>
        <v>0</v>
      </c>
      <c r="O63" s="54">
        <f>'SA Oct 2019'!BD41</f>
        <v>0</v>
      </c>
      <c r="P63" s="54">
        <f>'SA Oct 2019'!BE41</f>
        <v>0</v>
      </c>
      <c r="Q63" s="110" t="str">
        <f t="shared" si="34"/>
        <v>Guaranteed off bill</v>
      </c>
      <c r="R63" s="73" t="str">
        <f t="shared" si="35"/>
        <v>Exclusive</v>
      </c>
      <c r="S63" s="111">
        <f t="shared" si="32"/>
        <v>6803.366</v>
      </c>
      <c r="T63" s="112">
        <f t="shared" si="33"/>
        <v>6803.366</v>
      </c>
      <c r="U63" s="97">
        <f t="shared" si="30"/>
        <v>7483.7026000000005</v>
      </c>
      <c r="V63" s="98">
        <f t="shared" si="31"/>
        <v>7483.7026000000005</v>
      </c>
      <c r="W63" s="55">
        <f>'SA Oct 2019'!BL41</f>
        <v>0</v>
      </c>
      <c r="X63" s="56" t="str">
        <f>'SA Oct 2019'!BM41</f>
        <v>n</v>
      </c>
      <c r="Z63" s="87"/>
      <c r="AB63" s="87"/>
      <c r="AD63" s="87"/>
      <c r="AF63" s="87"/>
      <c r="AH63" s="87"/>
      <c r="AJ63" s="87"/>
      <c r="AL63" s="87"/>
      <c r="AN63" s="87"/>
      <c r="AP63" s="87"/>
      <c r="AR63" s="87"/>
      <c r="AT63" s="87"/>
      <c r="AV63" s="87"/>
      <c r="AX63" s="87"/>
      <c r="AZ63" s="87"/>
    </row>
    <row r="64" spans="1:53" x14ac:dyDescent="0.15">
      <c r="A64" s="70" t="str">
        <f>'SA Oct 2019'!K42</f>
        <v>Red Energy</v>
      </c>
      <c r="B64" s="49" t="str">
        <f>'SA Oct 2019'!L42</f>
        <v>Red Business Saver</v>
      </c>
      <c r="C64" s="46">
        <f>IF('SA Oct 2019'!BP42=0,91*'SA Oct 2019'!M42/100,(91*'SA Oct 2019'!M42/100)+'SA Oct 2019'!BP42/4)</f>
        <v>79.260999999999996</v>
      </c>
      <c r="D64" s="46">
        <f>IF('SA Oct 2019'!O42="",$C$49*$C$50*'SA Oct 2019'!N42/100,IF($C$49*$C$50&gt;='SA Oct 2019'!P42,('SA Oct 2019'!P42*'SA Oct 2019'!N42/100),($C$49*$C$50*'SA Oct 2019'!N42/100)))</f>
        <v>1235.4999999999998</v>
      </c>
      <c r="E64" s="46">
        <f>IF(AND('SA Oct 2019'!P42&gt;0,'SA Oct 2019'!R42&gt;0),IF($C$49*$C$50&lt;'SA Oct 2019'!P42,0,IF($C$49*$C$50&lt;=('SA Oct 2019'!R42+'SA Oct 2019'!P42),(($C$49*$C$50-'SA Oct 2019'!P42)*'SA Oct 2019'!Q42/100),(('SA Oct 2019'!R42)*'SA Oct 2019'!Q42/100))),0)</f>
        <v>0</v>
      </c>
      <c r="F64" s="46">
        <f>IF(AND('SA Oct 2019'!Q28&gt;0,'SA Oct 2019'!S28&gt;0),IF($C$49*$C$50&lt;('SA Oct 2019'!R28+'SA Oct 2019'!P28),0,IF($C$49*$C$50&lt;=('SA Oct 2019'!T28+'SA Oct 2019'!R28+'SA Oct 2019'!P28),(($C$49*$C$50-('SA Oct 2019'!R28+'SA Oct 2019'!P28))*'SA Oct 2019'!S28/100),('SA Oct 2019'!T28*'SA Oct 2019'!S28/100))),0)</f>
        <v>0</v>
      </c>
      <c r="G64" s="50">
        <f>IF(AND('SA Oct 2019'!R42&gt;0,'SA Oct 2019'!T42&gt;0),IF(($C$49*$C$50&lt;'SA Oct 2019'!T42),(0),($C$49*$C$50-'SA Oct 2019'!T42)*'SA Oct 2019'!U42/100),IF(AND('SA Oct 2019'!R42&gt;0,'SA Oct 2019'!T42=""),IF(($C$49*$C$50&lt;'SA Oct 2019'!R42+'SA Oct 2019'!P42),(0),(($C$49*$C$50-('SA Oct 2019'!R42+'SA Oct 2019'!P42))*'SA Oct 2019'!S42/100)),IF(AND('SA Oct 2019'!P42&gt;0,'SA Oct 2019'!R42=""&gt;0),IF(($C$49*$C$50&lt;'SA Oct 2019'!P42),(0),($C$49*$C$50-'SA Oct 2019'!P42)*'SA Oct 2019'!Q42/100),0)))</f>
        <v>0</v>
      </c>
      <c r="H64" s="51">
        <f>($C$49*$C$51)*'SA Oct 2019'!W42/100</f>
        <v>446.99999999999994</v>
      </c>
      <c r="I64" s="52">
        <f t="shared" si="28"/>
        <v>1761.7609999999997</v>
      </c>
      <c r="J64" s="109">
        <f t="shared" si="29"/>
        <v>6729.9999999999991</v>
      </c>
      <c r="K64" s="109">
        <f t="shared" si="24"/>
        <v>7047.043999999999</v>
      </c>
      <c r="L64" s="53">
        <f t="shared" si="25"/>
        <v>7751.7483999999995</v>
      </c>
      <c r="M64" s="54">
        <f>'SA Oct 2019'!BB42</f>
        <v>0</v>
      </c>
      <c r="N64" s="54">
        <f>'SA Oct 2019'!BC42</f>
        <v>0</v>
      </c>
      <c r="O64" s="54">
        <f>'SA Oct 2019'!BD42</f>
        <v>0</v>
      </c>
      <c r="P64" s="54">
        <f>'SA Oct 2019'!BE42</f>
        <v>0</v>
      </c>
      <c r="Q64" s="110" t="str">
        <f t="shared" si="34"/>
        <v>No discount</v>
      </c>
      <c r="R64" s="73" t="str">
        <f t="shared" si="35"/>
        <v>Inclusive</v>
      </c>
      <c r="S64" s="111">
        <f t="shared" si="32"/>
        <v>7047.043999999999</v>
      </c>
      <c r="T64" s="112">
        <f t="shared" si="33"/>
        <v>7047.043999999999</v>
      </c>
      <c r="U64" s="97">
        <f t="shared" si="30"/>
        <v>7751.7483999999995</v>
      </c>
      <c r="V64" s="98">
        <f t="shared" si="31"/>
        <v>7751.7483999999995</v>
      </c>
      <c r="W64" s="55">
        <f>'SA Oct 2019'!BL42</f>
        <v>0</v>
      </c>
      <c r="X64" s="56" t="str">
        <f>'SA Oct 2019'!BM42</f>
        <v>n</v>
      </c>
      <c r="Z64" s="87"/>
      <c r="AB64" s="87"/>
      <c r="AD64" s="87"/>
      <c r="AF64" s="87"/>
      <c r="AH64" s="87"/>
      <c r="AJ64" s="87"/>
      <c r="AL64" s="87"/>
      <c r="AN64" s="87"/>
      <c r="AP64" s="87"/>
      <c r="AR64" s="87"/>
      <c r="AT64" s="87"/>
      <c r="AV64" s="87"/>
      <c r="AX64" s="87"/>
      <c r="AZ64" s="87"/>
    </row>
    <row r="65" spans="1:52" x14ac:dyDescent="0.15">
      <c r="A65" s="70" t="str">
        <f>'SA Oct 2019'!K43</f>
        <v>Simply Energy</v>
      </c>
      <c r="B65" s="49" t="str">
        <f>'SA Oct 2019'!L43</f>
        <v>Business Plus</v>
      </c>
      <c r="C65" s="46">
        <f>IF('SA Oct 2019'!BP43=0,91*'SA Oct 2019'!M43/100,(91*'SA Oct 2019'!M43/100)+'SA Oct 2019'!BP43/4)</f>
        <v>78.605800000000002</v>
      </c>
      <c r="D65" s="46">
        <f>IF('SA Oct 2019'!O43="",$C$49*$C$50*'SA Oct 2019'!N43/100,IF($C$49*$C$50&gt;='SA Oct 2019'!P43,('SA Oct 2019'!P43*'SA Oct 2019'!N43/100),($C$49*$C$50*'SA Oct 2019'!N43/100)))</f>
        <v>1463.6363636363635</v>
      </c>
      <c r="E65" s="46">
        <f>IF(AND('SA Oct 2019'!P43&gt;0,'SA Oct 2019'!R43&gt;0),IF($C$49*$C$50&lt;'SA Oct 2019'!P43,0,IF($C$49*$C$50&lt;=('SA Oct 2019'!R43+'SA Oct 2019'!P43),(($C$49*$C$50-'SA Oct 2019'!P43)*'SA Oct 2019'!Q43/100),(('SA Oct 2019'!R43)*'SA Oct 2019'!Q43/100))),0)</f>
        <v>0</v>
      </c>
      <c r="F65" s="46">
        <f>IF(AND('SA Oct 2019'!Q29&gt;0,'SA Oct 2019'!S29&gt;0),IF($C$49*$C$50&lt;('SA Oct 2019'!R29+'SA Oct 2019'!P29),0,IF($C$49*$C$50&lt;=('SA Oct 2019'!T29+'SA Oct 2019'!R29+'SA Oct 2019'!P29),(($C$49*$C$50-('SA Oct 2019'!R29+'SA Oct 2019'!P29))*'SA Oct 2019'!S29/100),('SA Oct 2019'!T29*'SA Oct 2019'!S29/100))),0)</f>
        <v>0</v>
      </c>
      <c r="G65" s="50">
        <f>IF(AND('SA Oct 2019'!R43&gt;0,'SA Oct 2019'!T43&gt;0),IF(($C$49*$C$50&lt;'SA Oct 2019'!T43),(0),($C$49*$C$50-'SA Oct 2019'!T43)*'SA Oct 2019'!U43/100),IF(AND('SA Oct 2019'!R43&gt;0,'SA Oct 2019'!T43=""),IF(($C$49*$C$50&lt;'SA Oct 2019'!R43+'SA Oct 2019'!P43),(0),(($C$49*$C$50-('SA Oct 2019'!R43+'SA Oct 2019'!P43))*'SA Oct 2019'!S43/100)),IF(AND('SA Oct 2019'!P43&gt;0,'SA Oct 2019'!R43=""&gt;0),IF(($C$49*$C$50&lt;'SA Oct 2019'!P43),(0),($C$49*$C$50-'SA Oct 2019'!P43)*'SA Oct 2019'!Q43/100),0)))</f>
        <v>0</v>
      </c>
      <c r="H65" s="51">
        <f>($C$49*$C$51)*'SA Oct 2019'!W43/100</f>
        <v>367.36363636363632</v>
      </c>
      <c r="I65" s="52">
        <f t="shared" si="28"/>
        <v>1909.6057999999998</v>
      </c>
      <c r="J65" s="109">
        <f t="shared" si="29"/>
        <v>7323.9999999999991</v>
      </c>
      <c r="K65" s="109">
        <f t="shared" si="24"/>
        <v>7638.4231999999993</v>
      </c>
      <c r="L65" s="53">
        <f t="shared" si="25"/>
        <v>8402.265519999999</v>
      </c>
      <c r="M65" s="54">
        <f>'SA Oct 2019'!BB43</f>
        <v>0</v>
      </c>
      <c r="N65" s="54">
        <f>'SA Oct 2019'!BC43</f>
        <v>0</v>
      </c>
      <c r="O65" s="54">
        <f>'SA Oct 2019'!BD43</f>
        <v>0</v>
      </c>
      <c r="P65" s="54">
        <f>'SA Oct 2019'!BE43</f>
        <v>0</v>
      </c>
      <c r="Q65" s="110" t="str">
        <f t="shared" ref="Q65:Q69" si="36">IF(SUM(M65:P65)=0,"No discount",IF(M65&gt;0,"Guaranteed off bill",IF(N65&gt;0,"Guaranteed off usage",IF(O65&gt;0,"Pay-on-time off bill","Pay-on-time off usage"))))</f>
        <v>No discount</v>
      </c>
      <c r="R65" s="73" t="str">
        <f t="shared" ref="R65:R69" si="37">IF(OR(A65="Origin Energy",A65="Red Energy",A65="Powershop"),"Inclusive","Exclusive")</f>
        <v>Exclusive</v>
      </c>
      <c r="S65" s="111">
        <f t="shared" si="32"/>
        <v>7638.4231999999993</v>
      </c>
      <c r="T65" s="112">
        <f t="shared" si="33"/>
        <v>7638.4231999999993</v>
      </c>
      <c r="U65" s="97">
        <f t="shared" si="30"/>
        <v>8402.265519999999</v>
      </c>
      <c r="V65" s="98">
        <f t="shared" si="31"/>
        <v>8402.265519999999</v>
      </c>
      <c r="W65" s="55">
        <f>'SA Oct 2019'!BL43</f>
        <v>0</v>
      </c>
      <c r="X65" s="56" t="str">
        <f>'SA Oct 2019'!BM43</f>
        <v>N</v>
      </c>
      <c r="Z65" s="87"/>
      <c r="AB65" s="87"/>
      <c r="AD65" s="87"/>
      <c r="AF65" s="87"/>
      <c r="AH65" s="87"/>
      <c r="AJ65" s="87"/>
      <c r="AL65" s="87"/>
      <c r="AN65" s="87"/>
      <c r="AP65" s="87"/>
      <c r="AR65" s="87"/>
      <c r="AT65" s="87"/>
      <c r="AV65" s="87"/>
      <c r="AX65" s="87"/>
      <c r="AZ65" s="87"/>
    </row>
    <row r="66" spans="1:52" x14ac:dyDescent="0.15">
      <c r="A66" s="70" t="str">
        <f>'SA Oct 2019'!K44</f>
        <v>Powershop</v>
      </c>
      <c r="B66" s="49" t="str">
        <f>'SA Oct 2019'!L44</f>
        <v>Shopper with Mega Pack</v>
      </c>
      <c r="C66" s="46">
        <f>IF('SA Oct 2019'!BP44=0,91*'SA Oct 2019'!M44/100,(91*'SA Oct 2019'!M44/100)+'SA Oct 2019'!BP44/4)</f>
        <v>100.71880000000002</v>
      </c>
      <c r="D66" s="46">
        <f>IF('SA Oct 2019'!O44="",$C$49*$C$50*'SA Oct 2019'!N44/100,IF($C$49*$C$50&gt;='SA Oct 2019'!P44,('SA Oct 2019'!P44*'SA Oct 2019'!N44/100),($C$49*$C$50*'SA Oct 2019'!N44/100)))</f>
        <v>1330.7</v>
      </c>
      <c r="E66" s="46">
        <f>IF(AND('SA Oct 2019'!P44&gt;0,'SA Oct 2019'!R44&gt;0),IF($C$49*$C$50&lt;'SA Oct 2019'!P44,0,IF($C$49*$C$50&lt;=('SA Oct 2019'!R44+'SA Oct 2019'!P44),(($C$49*$C$50-'SA Oct 2019'!P44)*'SA Oct 2019'!Q44/100),(('SA Oct 2019'!R44)*'SA Oct 2019'!Q44/100))),0)</f>
        <v>0</v>
      </c>
      <c r="F66" s="46">
        <f>IF(AND('SA Oct 2019'!Q30&gt;0,'SA Oct 2019'!S30&gt;0),IF($C$49*$C$50&lt;('SA Oct 2019'!R30+'SA Oct 2019'!P30),0,IF($C$49*$C$50&lt;=('SA Oct 2019'!T30+'SA Oct 2019'!R30+'SA Oct 2019'!P30),(($C$49*$C$50-('SA Oct 2019'!R30+'SA Oct 2019'!P30))*'SA Oct 2019'!S30/100),('SA Oct 2019'!T30*'SA Oct 2019'!S30/100))),0)</f>
        <v>0</v>
      </c>
      <c r="G66" s="50">
        <f>IF(AND('SA Oct 2019'!R44&gt;0,'SA Oct 2019'!T44&gt;0),IF(($C$49*$C$50&lt;'SA Oct 2019'!T44),(0),($C$49*$C$50-'SA Oct 2019'!T44)*'SA Oct 2019'!U44/100),IF(AND('SA Oct 2019'!R44&gt;0,'SA Oct 2019'!T44=""),IF(($C$49*$C$50&lt;'SA Oct 2019'!R44+'SA Oct 2019'!P44),(0),(($C$49*$C$50-('SA Oct 2019'!R44+'SA Oct 2019'!P44))*'SA Oct 2019'!S44/100)),IF(AND('SA Oct 2019'!P44&gt;0,'SA Oct 2019'!R44=""&gt;0),IF(($C$49*$C$50&lt;'SA Oct 2019'!P44),(0),($C$49*$C$50-'SA Oct 2019'!P44)*'SA Oct 2019'!Q44/100),0)))</f>
        <v>0</v>
      </c>
      <c r="H66" s="51">
        <f>($C$49*$C$51)*'SA Oct 2019'!W44/100</f>
        <v>420.40909090909088</v>
      </c>
      <c r="I66" s="52">
        <f t="shared" si="28"/>
        <v>1851.8278909090909</v>
      </c>
      <c r="J66" s="109">
        <f t="shared" si="29"/>
        <v>7004.4363636363632</v>
      </c>
      <c r="K66" s="109">
        <f t="shared" si="24"/>
        <v>7407.3115636363636</v>
      </c>
      <c r="L66" s="53">
        <f t="shared" si="25"/>
        <v>8148.0427200000004</v>
      </c>
      <c r="M66" s="54">
        <f>'SA Oct 2019'!BB44</f>
        <v>0</v>
      </c>
      <c r="N66" s="54">
        <f>'SA Oct 2019'!BC44</f>
        <v>0</v>
      </c>
      <c r="O66" s="54">
        <f>'SA Oct 2019'!BD44</f>
        <v>12</v>
      </c>
      <c r="P66" s="54">
        <f>'SA Oct 2019'!BE44</f>
        <v>0</v>
      </c>
      <c r="Q66" s="110" t="str">
        <f t="shared" si="36"/>
        <v>Pay-on-time off bill</v>
      </c>
      <c r="R66" s="73" t="str">
        <f t="shared" si="37"/>
        <v>Inclusive</v>
      </c>
      <c r="S66" s="111">
        <f t="shared" si="32"/>
        <v>7407.3115636363636</v>
      </c>
      <c r="T66" s="112">
        <f t="shared" si="33"/>
        <v>6518.4341759999998</v>
      </c>
      <c r="U66" s="97">
        <f t="shared" si="30"/>
        <v>8148.0427200000004</v>
      </c>
      <c r="V66" s="98">
        <f t="shared" si="31"/>
        <v>7170.2775936000007</v>
      </c>
      <c r="W66" s="55">
        <f>'SA Oct 2019'!BL44</f>
        <v>0</v>
      </c>
      <c r="X66" s="56" t="str">
        <f>'SA Oct 2019'!BM44</f>
        <v>n</v>
      </c>
    </row>
    <row r="67" spans="1:52" x14ac:dyDescent="0.15">
      <c r="A67" s="70" t="str">
        <f>'SA Oct 2019'!K45</f>
        <v>Amaysim</v>
      </c>
      <c r="B67" s="73" t="str">
        <f>'SA Oct 2019'!L45</f>
        <v>Business as you go</v>
      </c>
      <c r="C67" s="46">
        <f>IF('SA Oct 2019'!BP45=0,91*'SA Oct 2019'!M45/100,(91*'SA Oct 2019'!M45/100)+'SA Oct 2019'!BP45/4)</f>
        <v>58.558499999999995</v>
      </c>
      <c r="D67" s="46">
        <f>IF('SA Oct 2019'!O45="",$C$49*$C$50*'SA Oct 2019'!N45/100,IF($C$49*$C$50&gt;='SA Oct 2019'!P45,('SA Oct 2019'!P45*'SA Oct 2019'!N45/100),($C$49*$C$50*'SA Oct 2019'!N45/100)))</f>
        <v>1307.5999999999999</v>
      </c>
      <c r="E67" s="46">
        <f>IF(AND('SA Oct 2019'!P45&gt;0,'SA Oct 2019'!R45&gt;0),IF($C$49*$C$50&lt;'SA Oct 2019'!P45,0,IF($C$49*$C$50&lt;=('SA Oct 2019'!R45+'SA Oct 2019'!P45),(($C$49*$C$50-'SA Oct 2019'!P45)*'SA Oct 2019'!Q45/100),(('SA Oct 2019'!R45)*'SA Oct 2019'!Q45/100))),0)</f>
        <v>0</v>
      </c>
      <c r="F67" s="46">
        <f>IF(AND('SA Oct 2019'!Q31&gt;0,'SA Oct 2019'!S31&gt;0),IF($C$49*$C$50&lt;('SA Oct 2019'!R31+'SA Oct 2019'!P31),0,IF($C$49*$C$50&lt;=('SA Oct 2019'!T31+'SA Oct 2019'!R31+'SA Oct 2019'!P31),(($C$49*$C$50-('SA Oct 2019'!R31+'SA Oct 2019'!P31))*'SA Oct 2019'!S31/100),('SA Oct 2019'!T31*'SA Oct 2019'!S31/100))),0)</f>
        <v>0</v>
      </c>
      <c r="G67" s="50">
        <f>IF(AND('SA Oct 2019'!R45&gt;0,'SA Oct 2019'!T45&gt;0),IF(($C$49*$C$50&lt;'SA Oct 2019'!T45),(0),($C$49*$C$50-'SA Oct 2019'!T45)*'SA Oct 2019'!U45/100),IF(AND('SA Oct 2019'!R45&gt;0,'SA Oct 2019'!T45=""),IF(($C$49*$C$50&lt;'SA Oct 2019'!R45+'SA Oct 2019'!P45),(0),(($C$49*$C$50-('SA Oct 2019'!R45+'SA Oct 2019'!P45))*'SA Oct 2019'!S45/100)),IF(AND('SA Oct 2019'!P45&gt;0,'SA Oct 2019'!R45=""&gt;0),IF(($C$49*$C$50&lt;'SA Oct 2019'!P45),(0),($C$49*$C$50-'SA Oct 2019'!P45)*'SA Oct 2019'!Q45/100),0)))</f>
        <v>0</v>
      </c>
      <c r="H67" s="46">
        <f>($C$49*$C$51)*'SA Oct 2019'!W45/100</f>
        <v>464.4</v>
      </c>
      <c r="I67" s="52">
        <f t="shared" si="28"/>
        <v>1830.5585000000001</v>
      </c>
      <c r="J67" s="109">
        <f t="shared" ref="J67:J69" si="38">(I67-C67)*4</f>
        <v>7088</v>
      </c>
      <c r="K67" s="109">
        <f t="shared" ref="K67:K69" si="39">I67*4</f>
        <v>7322.2340000000004</v>
      </c>
      <c r="L67" s="53">
        <f t="shared" si="25"/>
        <v>8054.4574000000011</v>
      </c>
      <c r="M67" s="54">
        <f>'SA Oct 2019'!BB45</f>
        <v>0</v>
      </c>
      <c r="N67" s="54">
        <f>'SA Oct 2019'!BC45</f>
        <v>0</v>
      </c>
      <c r="O67" s="54">
        <f>'SA Oct 2019'!BD45</f>
        <v>0</v>
      </c>
      <c r="P67" s="54">
        <f>'SA Oct 2019'!BE45</f>
        <v>0</v>
      </c>
      <c r="Q67" s="110" t="str">
        <f t="shared" si="36"/>
        <v>No discount</v>
      </c>
      <c r="R67" s="73" t="str">
        <f t="shared" si="37"/>
        <v>Exclusive</v>
      </c>
      <c r="S67" s="111">
        <f t="shared" ref="S67:S69" si="40">IF(AND(Q67="Guaranteed off bill",R67="Inclusive"),((K67*1.1)-((K67*1.1)*M67/100))/1.1,IF(AND(Q67="Guaranteed off usage",R67="Inclusive"),((K67*1.1)-((J67*1.1)*N67/100))/1.1,IF(AND(Q67="Guaranteed off bill",R67="Exclusive"),K67-(K67*M67/100),IF(AND(Q67="Guaranteed off usage",R67="Exclusive"),K67-(J67*N67/100),IF(R67="Inclusive",((K67*1.1))/1.1,K67)))))</f>
        <v>7322.2340000000004</v>
      </c>
      <c r="T67" s="112">
        <f t="shared" ref="T67:T69" si="41">IF(AND(Q67="Pay-on-time off bill",R67="Inclusive"),((S67*1.1)-((S67*1.1)*O67/100))/1.1,IF(AND(Q67="Pay-on-time off usage",R67="Inclusive"),((S67*1.1)-((J67*1.1)*P67/100))/1.1,IF(AND(Q67="Pay-on-time off bill",R67="Exclusive"),S67-(S67*O67/100),IF(AND(Q67="Pay-on-time off usage",R67="Exclusive"),S67-(J67*P67/100),IF(R67="Inclusive",((S67*1.1))/1.1,S67)))))</f>
        <v>7322.2340000000004</v>
      </c>
      <c r="U67" s="97">
        <f t="shared" ref="U67:U68" si="42">S67*1.1</f>
        <v>8054.4574000000011</v>
      </c>
      <c r="V67" s="98">
        <f t="shared" ref="V67:V68" si="43">T67*1.1</f>
        <v>8054.4574000000011</v>
      </c>
      <c r="W67" s="55">
        <f>'SA Oct 2019'!BL45</f>
        <v>0</v>
      </c>
      <c r="X67" s="56" t="str">
        <f>'SA Oct 2019'!BM45</f>
        <v>n</v>
      </c>
    </row>
    <row r="68" spans="1:52" x14ac:dyDescent="0.15">
      <c r="A68" s="70" t="str">
        <f>'SA Oct 2019'!K46</f>
        <v>Blue NRG</v>
      </c>
      <c r="B68" s="73" t="str">
        <f>'SA Oct 2019'!L46</f>
        <v>Market offer</v>
      </c>
      <c r="C68" s="46">
        <f>IF('SA Oct 2019'!BP46=0,91*'SA Oct 2019'!M46/100,(91*'SA Oct 2019'!M46/100)+'SA Oct 2019'!BP46/4)</f>
        <v>108.39754545454545</v>
      </c>
      <c r="D68" s="46">
        <f>IF('SA Oct 2019'!O46="",$C$49*$C$50*'SA Oct 2019'!N46/100,IF($C$49*$C$50&gt;='SA Oct 2019'!P46,('SA Oct 2019'!P46*'SA Oct 2019'!N46/100),($C$49*$C$50*'SA Oct 2019'!N46/100)))</f>
        <v>1477.9545454545453</v>
      </c>
      <c r="E68" s="46">
        <f>IF(AND('SA Oct 2019'!P46&gt;0,'SA Oct 2019'!R46&gt;0),IF($C$49*$C$50&lt;'SA Oct 2019'!P46,0,IF($C$49*$C$50&lt;=('SA Oct 2019'!R46+'SA Oct 2019'!P46),(($C$49*$C$50-'SA Oct 2019'!P46)*'SA Oct 2019'!Q46/100),(('SA Oct 2019'!R46)*'SA Oct 2019'!Q46/100))),0)</f>
        <v>0</v>
      </c>
      <c r="F68" s="46">
        <f>IF(AND('SA Oct 2019'!Q32&gt;0,'SA Oct 2019'!S32&gt;0),IF($C$49*$C$50&lt;('SA Oct 2019'!R32+'SA Oct 2019'!P32),0,IF($C$49*$C$50&lt;=('SA Oct 2019'!T32+'SA Oct 2019'!R32+'SA Oct 2019'!P32),(($C$49*$C$50-('SA Oct 2019'!R32+'SA Oct 2019'!P32))*'SA Oct 2019'!S32/100),('SA Oct 2019'!T32*'SA Oct 2019'!S32/100))),0)</f>
        <v>0</v>
      </c>
      <c r="G68" s="50">
        <f>IF(AND('SA Oct 2019'!R46&gt;0,'SA Oct 2019'!T46&gt;0),IF(($C$49*$C$50&lt;'SA Oct 2019'!T46),(0),($C$49*$C$50-'SA Oct 2019'!T46)*'SA Oct 2019'!U46/100),IF(AND('SA Oct 2019'!R46&gt;0,'SA Oct 2019'!T46=""),IF(($C$49*$C$50&lt;'SA Oct 2019'!R46+'SA Oct 2019'!P46),(0),(($C$49*$C$50-('SA Oct 2019'!R46+'SA Oct 2019'!P46))*'SA Oct 2019'!S46/100)),IF(AND('SA Oct 2019'!P46&gt;0,'SA Oct 2019'!R46=""&gt;0),IF(($C$49*$C$50&lt;'SA Oct 2019'!P46),(0),($C$49*$C$50-'SA Oct 2019'!P46)*'SA Oct 2019'!Q46/100),0)))</f>
        <v>0</v>
      </c>
      <c r="H68" s="46">
        <f>($C$49*$C$51)*'SA Oct 2019'!W46/100</f>
        <v>389.85</v>
      </c>
      <c r="I68" s="52">
        <f t="shared" si="28"/>
        <v>1976.2020909090907</v>
      </c>
      <c r="J68" s="109">
        <f t="shared" si="38"/>
        <v>7471.2181818181807</v>
      </c>
      <c r="K68" s="109">
        <f t="shared" si="39"/>
        <v>7904.8083636363626</v>
      </c>
      <c r="L68" s="53">
        <f t="shared" si="25"/>
        <v>8695.2891999999993</v>
      </c>
      <c r="M68" s="54">
        <f>'SA Oct 2019'!BB46</f>
        <v>0</v>
      </c>
      <c r="N68" s="54">
        <f>'SA Oct 2019'!BC46</f>
        <v>0</v>
      </c>
      <c r="O68" s="54">
        <f>'SA Oct 2019'!BD46</f>
        <v>0</v>
      </c>
      <c r="P68" s="54">
        <f>'SA Oct 2019'!BE46</f>
        <v>0</v>
      </c>
      <c r="Q68" s="110" t="str">
        <f t="shared" si="36"/>
        <v>No discount</v>
      </c>
      <c r="R68" s="73" t="str">
        <f t="shared" si="37"/>
        <v>Exclusive</v>
      </c>
      <c r="S68" s="111">
        <f t="shared" si="40"/>
        <v>7904.8083636363626</v>
      </c>
      <c r="T68" s="112">
        <f t="shared" si="41"/>
        <v>7904.8083636363626</v>
      </c>
      <c r="U68" s="97">
        <f t="shared" si="42"/>
        <v>8695.2891999999993</v>
      </c>
      <c r="V68" s="98">
        <f t="shared" si="43"/>
        <v>8695.2891999999993</v>
      </c>
      <c r="W68" s="55">
        <f>'SA Oct 2019'!BL46</f>
        <v>36</v>
      </c>
      <c r="X68" s="56" t="str">
        <f>'SA Oct 2019'!BM46</f>
        <v>n</v>
      </c>
    </row>
    <row r="69" spans="1:52" ht="15" thickBot="1" x14ac:dyDescent="0.2">
      <c r="A69" s="71" t="str">
        <f>'SA Oct 2019'!K47</f>
        <v>Powerclub</v>
      </c>
      <c r="B69" s="72" t="str">
        <f>'SA Oct 2019'!L47</f>
        <v>Powerbank Business</v>
      </c>
      <c r="C69" s="58">
        <f>IF('SA Oct 2019'!BP47=0,91*'SA Oct 2019'!M47/100,(91*'SA Oct 2019'!M47/100)+'SA Oct 2019'!BP47/4)</f>
        <v>105.00018136363634</v>
      </c>
      <c r="D69" s="58">
        <f>IF('SA Oct 2019'!O47="",$C$49*$C$50*'SA Oct 2019'!N47/100,IF($C$49*$C$50&gt;='SA Oct 2019'!P47,('SA Oct 2019'!P47*'SA Oct 2019'!N47/100),($C$49*$C$50*'SA Oct 2019'!N47/100)))</f>
        <v>1083.090909090909</v>
      </c>
      <c r="E69" s="58">
        <f>IF(AND('SA Oct 2019'!P47&gt;0,'SA Oct 2019'!R47&gt;0),IF($C$49*$C$50&lt;'SA Oct 2019'!P47,0,IF($C$49*$C$50&lt;=('SA Oct 2019'!R47+'SA Oct 2019'!P47),(($C$49*$C$50-'SA Oct 2019'!P47)*'SA Oct 2019'!Q47/100),(('SA Oct 2019'!R47)*'SA Oct 2019'!Q47/100))),0)</f>
        <v>0</v>
      </c>
      <c r="F69" s="58">
        <f>IF(AND('SA Oct 2019'!Q33&gt;0,'SA Oct 2019'!S33&gt;0),IF($C$49*$C$50&lt;('SA Oct 2019'!R33+'SA Oct 2019'!P33),0,IF($C$49*$C$50&lt;=('SA Oct 2019'!T33+'SA Oct 2019'!R33+'SA Oct 2019'!P33),(($C$49*$C$50-('SA Oct 2019'!R33+'SA Oct 2019'!P33))*'SA Oct 2019'!S33/100),('SA Oct 2019'!T33*'SA Oct 2019'!S33/100))),0)</f>
        <v>0</v>
      </c>
      <c r="G69" s="59">
        <f>IF(AND('SA Oct 2019'!R47&gt;0,'SA Oct 2019'!T47&gt;0),IF(($C$49*$C$50&lt;'SA Oct 2019'!T47),(0),($C$49*$C$50-'SA Oct 2019'!T47)*'SA Oct 2019'!U47/100),IF(AND('SA Oct 2019'!R47&gt;0,'SA Oct 2019'!T47=""),IF(($C$49*$C$50&lt;'SA Oct 2019'!R47+'SA Oct 2019'!P47),(0),(($C$49*$C$50-('SA Oct 2019'!R47+'SA Oct 2019'!P47))*'SA Oct 2019'!S47/100)),IF(AND('SA Oct 2019'!P47&gt;0,'SA Oct 2019'!R47=""&gt;0),IF(($C$49*$C$50&lt;'SA Oct 2019'!P47),(0),($C$49*$C$50-'SA Oct 2019'!P47)*'SA Oct 2019'!Q47/100),0)))</f>
        <v>0</v>
      </c>
      <c r="H69" s="58">
        <f>($C$49*$C$51)*'SA Oct 2019'!W47/100</f>
        <v>339.81818181818176</v>
      </c>
      <c r="I69" s="61">
        <f t="shared" si="28"/>
        <v>1527.9092722727271</v>
      </c>
      <c r="J69" s="113">
        <f t="shared" si="38"/>
        <v>5691.6363636363631</v>
      </c>
      <c r="K69" s="114">
        <f t="shared" si="39"/>
        <v>6111.6370890909084</v>
      </c>
      <c r="L69" s="62">
        <f t="shared" si="25"/>
        <v>6722.8007979999993</v>
      </c>
      <c r="M69" s="63">
        <f>'SA Oct 2019'!BB47</f>
        <v>0</v>
      </c>
      <c r="N69" s="63">
        <f>'SA Oct 2019'!BC47</f>
        <v>0</v>
      </c>
      <c r="O69" s="63">
        <f>'SA Oct 2019'!BD47</f>
        <v>0</v>
      </c>
      <c r="P69" s="63">
        <f>'SA Oct 2019'!BE47</f>
        <v>0</v>
      </c>
      <c r="Q69" s="115" t="str">
        <f t="shared" si="36"/>
        <v>No discount</v>
      </c>
      <c r="R69" s="72" t="str">
        <f t="shared" si="37"/>
        <v>Exclusive</v>
      </c>
      <c r="S69" s="113">
        <f t="shared" si="40"/>
        <v>6111.6370890909084</v>
      </c>
      <c r="T69" s="114">
        <f t="shared" si="41"/>
        <v>6111.6370890909084</v>
      </c>
      <c r="U69" s="62">
        <f t="shared" ref="U69" si="44">IF(R69="Exclusive",S69*1.1,S69)</f>
        <v>6722.8007979999993</v>
      </c>
      <c r="V69" s="62">
        <f t="shared" ref="V69" si="45">IF(R69="Exclusive",T69*1.1,T69)</f>
        <v>6722.8007979999993</v>
      </c>
      <c r="W69" s="64">
        <f>'SA Oct 2019'!BL47</f>
        <v>0</v>
      </c>
      <c r="X69" s="65">
        <f>'SA Oct 2019'!BM47</f>
        <v>0</v>
      </c>
    </row>
  </sheetData>
  <sheetProtection algorithmName="SHA-512" hashValue="o3Ca+nzpssHHT/OT4/s6vIo7coPv/tT+ssZiP26x6awSy+phxe676PVbhgw3yvVJeRUkxIaoxNDytR9UAzCpxA==" saltValue="gLS/podTVfQo8Jd8AXeKLw==" spinCount="100000" sheet="1" objects="1" scenarios="1"/>
  <conditionalFormatting sqref="A8:I23 L8:P23 W8:X23 A32:I45 W32:X45 A54:I69 W54:X69">
    <cfRule type="expression" dxfId="17" priority="171">
      <formula>MOD(ROW(),2)=0</formula>
    </cfRule>
  </conditionalFormatting>
  <conditionalFormatting sqref="L32:P45">
    <cfRule type="expression" dxfId="16" priority="3">
      <formula>MOD(ROW(),2)=0</formula>
    </cfRule>
  </conditionalFormatting>
  <conditionalFormatting sqref="L54:P69">
    <cfRule type="expression" dxfId="15" priority="1">
      <formula>MOD(ROW(),2)=0</formula>
    </cfRule>
  </conditionalFormatting>
  <conditionalFormatting sqref="U8:V23">
    <cfRule type="expression" dxfId="14" priority="17">
      <formula>MOD(ROW(),2)=0</formula>
    </cfRule>
  </conditionalFormatting>
  <conditionalFormatting sqref="U32:V45">
    <cfRule type="expression" dxfId="13" priority="13">
      <formula>MOD(ROW(),2)=0</formula>
    </cfRule>
  </conditionalFormatting>
  <conditionalFormatting sqref="U54:V69">
    <cfRule type="expression" dxfId="12" priority="5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7" max="16383" man="1" pt="1"/>
  </rowBreak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FCEF3-B15E-0F4B-B1A3-539763718688}">
  <sheetPr codeName="Sheet4">
    <tabColor rgb="FFFFA9A5"/>
  </sheetPr>
  <dimension ref="A1:BA72"/>
  <sheetViews>
    <sheetView zoomScale="90" zoomScaleNormal="90" zoomScalePageLayoutView="125" workbookViewId="0">
      <selection activeCell="V8" sqref="V8:V24"/>
    </sheetView>
  </sheetViews>
  <sheetFormatPr baseColWidth="10" defaultRowHeight="14" x14ac:dyDescent="0.15"/>
  <cols>
    <col min="1" max="1" width="20.33203125" style="75" customWidth="1"/>
    <col min="2" max="2" width="22.6640625" style="75" bestFit="1" customWidth="1"/>
    <col min="3" max="9" width="12.1640625" style="75" customWidth="1"/>
    <col min="10" max="11" width="12.1640625" style="75" hidden="1" customWidth="1"/>
    <col min="12" max="16" width="12.1640625" style="75" customWidth="1"/>
    <col min="17" max="20" width="12.1640625" style="75" hidden="1" customWidth="1"/>
    <col min="21" max="24" width="12.1640625" style="75" customWidth="1"/>
    <col min="25" max="53" width="7.5" style="75" customWidth="1"/>
    <col min="54" max="16384" width="10.83203125" style="75"/>
  </cols>
  <sheetData>
    <row r="1" spans="1:53" x14ac:dyDescent="0.15">
      <c r="A1" s="75" t="s">
        <v>31</v>
      </c>
    </row>
    <row r="2" spans="1:53" x14ac:dyDescent="0.15">
      <c r="A2" s="76" t="s">
        <v>236</v>
      </c>
    </row>
    <row r="3" spans="1:53" ht="15" thickBot="1" x14ac:dyDescent="0.2">
      <c r="G3" s="77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106"/>
      <c r="R4" s="106"/>
      <c r="S4" s="106"/>
      <c r="T4" s="106"/>
      <c r="U4" s="106"/>
      <c r="V4" s="106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88"/>
      <c r="R5" s="88"/>
      <c r="S5" s="88"/>
      <c r="T5" s="88"/>
      <c r="U5" s="88"/>
      <c r="V5" s="8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88"/>
      <c r="R6" s="88"/>
      <c r="S6" s="88"/>
      <c r="T6" s="88"/>
      <c r="U6" s="88"/>
      <c r="V6" s="8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</row>
    <row r="8" spans="1:53" x14ac:dyDescent="0.15">
      <c r="A8" s="70" t="str">
        <f>'SA Apr 2019'!K2</f>
        <v>AGL</v>
      </c>
      <c r="B8" s="49" t="str">
        <f>'SA Apr 2019'!L2</f>
        <v xml:space="preserve">Business Savers </v>
      </c>
      <c r="C8" s="46">
        <f>IF('SA Apr 2019'!BP2=0,91*'SA Apr 2019'!M2/100,(91*'SA Apr 2019'!M2/100)+'SA Apr 2019'!BP2/4)</f>
        <v>82.81</v>
      </c>
      <c r="D8" s="46">
        <f>IF('SA Apr 2019'!O2="",$C$5*'SA Apr 2019'!N2/100,IF($C$5&gt;='SA Apr 2019'!P2,('SA Apr 2019'!P2*'SA Apr 2019'!N2/100),($C$5*'SA Apr 2019'!N2/100)))</f>
        <v>2145</v>
      </c>
      <c r="E8" s="46">
        <f>IF(AND('SA Apr 2019'!P2&gt;0,'SA Apr 2019'!R2&gt;0),IF($C$5&lt;'SA Apr 2019'!P2,0,IF($C$5&lt;=('SA Apr 2019'!R2+'SA Apr 2019'!P2),(($C$5-'SA Apr 2019'!P2)*'SA Apr 2019'!Q2/100),(('SA Apr 2019'!R2)*'SA Apr 2019'!Q2/100))),0)</f>
        <v>0</v>
      </c>
      <c r="F8" s="46">
        <f>IF(AND('SA Apr 2019'!Q2&gt;0,'SA Apr 2019'!S2&gt;0),IF($C$5&lt;('SA Apr 2019'!R2+'SA Apr 2019'!P2),0,IF($C$5&lt;=('SA Apr 2019'!T2+'SA Apr 2019'!R2+'SA Apr 2019'!P2),(($C$5-('SA Apr 2019'!R2+'SA Apr 2019'!P2))*'SA Apr 2019'!S2/100),('SA Apr 2019'!T2*'SA Apr 2019'!S2/100))),0)</f>
        <v>0</v>
      </c>
      <c r="G8" s="50">
        <v>0</v>
      </c>
      <c r="H8" s="46">
        <f>IF(AND('SA Apr 2019'!R2&gt;0,'SA Apr 2019'!T2&gt;0),IF(($C$5&lt;'SA Apr 2019'!T2),(0),($C$5-'SA Apr 2019'!T2)*'SA Apr 2019'!U2/100),IF(AND('SA Apr 2019'!R2&gt;0,'SA Apr 2019'!T2=""),IF(($C$5&lt;'SA Apr 2019'!R2+'SA Apr 2019'!P2),(0),(($C$5-('SA Apr 2019'!R2+'SA Apr 2019'!P2))*'SA Apr 2019'!S2/100)),IF(AND('SA Apr 2019'!P2&gt;0,'SA Apr 2019'!R2=""&gt;0),IF(($C$5&lt;'SA Apr 2019'!P2),(0),($C$5-'SA Apr 2019'!P2)*'SA Apr 2019'!Q2/100),0)))</f>
        <v>0</v>
      </c>
      <c r="I8" s="52">
        <f>SUM(C8:H8)</f>
        <v>2227.81</v>
      </c>
      <c r="J8" s="111">
        <f>(I8-C8)*4</f>
        <v>8580</v>
      </c>
      <c r="K8" s="112">
        <f>I8*4</f>
        <v>8911.24</v>
      </c>
      <c r="L8" s="53">
        <f>K8*1.1</f>
        <v>9802.3640000000014</v>
      </c>
      <c r="M8" s="54">
        <f>'SA Apr 2019'!BB2</f>
        <v>0</v>
      </c>
      <c r="N8" s="54">
        <f>'SA Apr 2019'!BC2</f>
        <v>18</v>
      </c>
      <c r="O8" s="54">
        <f>'SA Apr 2019'!BD2</f>
        <v>0</v>
      </c>
      <c r="P8" s="54">
        <f>'SA Apr 2019'!BE2</f>
        <v>0</v>
      </c>
      <c r="Q8" s="54" t="str">
        <f>IF(SUM(M8:P8)=0,"No discount",IF(M8&gt;0,"Guaranteed off bill",IF(N8&gt;0,"Guaranteed off usage",IF(O8&gt;0,"Pay-on-time off bill","Pay-on-time off usage"))))</f>
        <v>Guaranteed off usage</v>
      </c>
      <c r="R8" s="54" t="s">
        <v>543</v>
      </c>
      <c r="S8" s="117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7366.84</v>
      </c>
      <c r="T8" s="118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7366.84</v>
      </c>
      <c r="U8" s="53">
        <f>S8*1.1</f>
        <v>8103.5240000000013</v>
      </c>
      <c r="V8" s="53">
        <f>T8*1.1</f>
        <v>8103.5240000000013</v>
      </c>
      <c r="W8" s="55">
        <f>'SA Apr 2019'!BL2</f>
        <v>0</v>
      </c>
      <c r="X8" s="56" t="str">
        <f>'SA Apr 2019'!BM2</f>
        <v>n</v>
      </c>
    </row>
    <row r="9" spans="1:53" x14ac:dyDescent="0.15">
      <c r="A9" s="70" t="str">
        <f>'SA Apr 2019'!K3</f>
        <v>Alinta Energy</v>
      </c>
      <c r="B9" s="49" t="str">
        <f>'SA Apr 2019'!L3</f>
        <v>Corporate Saver</v>
      </c>
      <c r="C9" s="46">
        <f>IF('SA Apr 2019'!BP3=0,91*'SA Apr 2019'!M3/100,(91*'SA Apr 2019'!M3/100)+'SA Apr 2019'!BP3/4)</f>
        <v>82.355000000000004</v>
      </c>
      <c r="D9" s="46">
        <f>IF('SA Apr 2019'!O3="",$C$5*'SA Apr 2019'!N3/100,IF($C$5&gt;='SA Apr 2019'!P3,('SA Apr 2019'!P3*'SA Apr 2019'!N3/100),($C$5*'SA Apr 2019'!N3/100)))</f>
        <v>1119.75</v>
      </c>
      <c r="E9" s="46">
        <f>IF(AND('SA Apr 2019'!P3&gt;0,'SA Apr 2019'!R3&gt;0),IF($C$5&lt;'SA Apr 2019'!P3,0,IF($C$5&lt;=('SA Apr 2019'!R3+'SA Apr 2019'!P3),(($C$5-'SA Apr 2019'!P3)*'SA Apr 2019'!Q3/100),(('SA Apr 2019'!R3)*'SA Apr 2019'!Q3/100))),0)</f>
        <v>0</v>
      </c>
      <c r="F9" s="46">
        <f>IF(AND('SA Apr 2019'!Q3&gt;0,'SA Apr 2019'!S3&gt;0),IF($C$5&lt;('SA Apr 2019'!R3+'SA Apr 2019'!P3),0,IF($C$5&lt;=('SA Apr 2019'!T3+'SA Apr 2019'!R3+'SA Apr 2019'!P3),(($C$5-('SA Apr 2019'!R3+'SA Apr 2019'!P3))*'SA Apr 2019'!S3/100),('SA Apr 2019'!T3*'SA Apr 2019'!S3/100))),0)</f>
        <v>0</v>
      </c>
      <c r="G9" s="50">
        <v>0</v>
      </c>
      <c r="H9" s="46">
        <f>IF(AND('SA Apr 2019'!R3&gt;0,'SA Apr 2019'!T3&gt;0),IF(($C$5&lt;'SA Apr 2019'!T3),(0),($C$5-'SA Apr 2019'!T3)*'SA Apr 2019'!U3/100),IF(AND('SA Apr 2019'!R3&gt;0,'SA Apr 2019'!T3=""),IF(($C$5&lt;'SA Apr 2019'!R3+'SA Apr 2019'!P3),(0),(($C$5-('SA Apr 2019'!R3+'SA Apr 2019'!P3))*'SA Apr 2019'!S3/100)),IF(AND('SA Apr 2019'!P3&gt;0,'SA Apr 2019'!R3=""&gt;0),IF(($C$5&lt;'SA Apr 2019'!P3),(0),($C$5-'SA Apr 2019'!P3)*'SA Apr 2019'!Q3/100),0)))</f>
        <v>1119.75</v>
      </c>
      <c r="I9" s="52">
        <f t="shared" ref="I9:I23" si="0">SUM(C9:H9)</f>
        <v>2321.855</v>
      </c>
      <c r="J9" s="111">
        <f t="shared" ref="J9:J24" si="1">(I9-C9)*4</f>
        <v>8958</v>
      </c>
      <c r="K9" s="112">
        <f t="shared" ref="K9:K23" si="2">I9*4</f>
        <v>9287.42</v>
      </c>
      <c r="L9" s="53">
        <f t="shared" ref="L9:L24" si="3">K9*1.1</f>
        <v>10216.162</v>
      </c>
      <c r="M9" s="54">
        <f>'SA Apr 2019'!BB3</f>
        <v>0</v>
      </c>
      <c r="N9" s="54">
        <f>'SA Apr 2019'!BC3</f>
        <v>25</v>
      </c>
      <c r="O9" s="54">
        <f>'SA Apr 2019'!BD3</f>
        <v>0</v>
      </c>
      <c r="P9" s="54">
        <f>'SA Apr 2019'!BE3</f>
        <v>0</v>
      </c>
      <c r="Q9" s="54" t="str">
        <f t="shared" ref="Q9:Q24" si="4">IF(SUM(M9:P9)=0,"No discount",IF(M9&gt;0,"Guaranteed off bill",IF(N9&gt;0,"Guaranteed off usage",IF(O9&gt;0,"Pay-on-time off bill","Pay-on-time off usage"))))</f>
        <v>Guaranteed off usage</v>
      </c>
      <c r="R9" s="54" t="s">
        <v>543</v>
      </c>
      <c r="S9" s="111">
        <f t="shared" ref="S9:S24" si="5"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7047.92</v>
      </c>
      <c r="T9" s="112">
        <f t="shared" ref="T9:T24" si="6"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7047.92</v>
      </c>
      <c r="U9" s="53">
        <f t="shared" ref="U9:U22" si="7">S9*1.1</f>
        <v>7752.7120000000004</v>
      </c>
      <c r="V9" s="53">
        <f t="shared" ref="V9:V22" si="8">T9*1.1</f>
        <v>7752.7120000000004</v>
      </c>
      <c r="W9" s="55">
        <f>'SA Apr 2019'!BL3</f>
        <v>0</v>
      </c>
      <c r="X9" s="56" t="str">
        <f>'SA Apr 2019'!BM3</f>
        <v>n</v>
      </c>
    </row>
    <row r="10" spans="1:53" x14ac:dyDescent="0.15">
      <c r="A10" s="70" t="str">
        <f>'SA Apr 2019'!K4</f>
        <v>Click Energy</v>
      </c>
      <c r="B10" s="49" t="str">
        <f>'SA Apr 2019'!L4</f>
        <v xml:space="preserve">Click Business </v>
      </c>
      <c r="C10" s="46">
        <f>IF('SA Apr 2019'!BP4=0,91*'SA Apr 2019'!M4/100,(91*'SA Apr 2019'!M4/100)+'SA Apr 2019'!BP4/4)</f>
        <v>75.075000000000003</v>
      </c>
      <c r="D10" s="46">
        <f>IF('SA Apr 2019'!O4="",$C$5*'SA Apr 2019'!N4/100,IF($C$5&gt;='SA Apr 2019'!P4,('SA Apr 2019'!P4*'SA Apr 2019'!N4/100),($C$5*'SA Apr 2019'!N4/100)))</f>
        <v>2300</v>
      </c>
      <c r="E10" s="46">
        <f>IF(AND('SA Apr 2019'!P4&gt;0,'SA Apr 2019'!R4&gt;0),IF($C$5&lt;'SA Apr 2019'!P4,0,IF($C$5&lt;=('SA Apr 2019'!R4+'SA Apr 2019'!P4),(($C$5-'SA Apr 2019'!P4)*'SA Apr 2019'!Q4/100),(('SA Apr 2019'!R4)*'SA Apr 2019'!Q4/100))),0)</f>
        <v>0</v>
      </c>
      <c r="F10" s="46">
        <f>IF(AND('SA Apr 2019'!Q4&gt;0,'SA Apr 2019'!S4&gt;0),IF($C$5&lt;('SA Apr 2019'!R4+'SA Apr 2019'!P4),0,IF($C$5&lt;=('SA Apr 2019'!T4+'SA Apr 2019'!R4+'SA Apr 2019'!P4),(($C$5-('SA Apr 2019'!R4+'SA Apr 2019'!P4))*'SA Apr 2019'!S4/100),('SA Apr 2019'!T4*'SA Apr 2019'!S4/100))),0)</f>
        <v>0</v>
      </c>
      <c r="G10" s="50">
        <v>0</v>
      </c>
      <c r="H10" s="46">
        <f>IF(AND('SA Apr 2019'!R4&gt;0,'SA Apr 2019'!T4&gt;0),IF(($C$5&lt;'SA Apr 2019'!T4),(0),($C$5-'SA Apr 2019'!T4)*'SA Apr 2019'!U4/100),IF(AND('SA Apr 2019'!R4&gt;0,'SA Apr 2019'!T4=""),IF(($C$5&lt;'SA Apr 2019'!R4+'SA Apr 2019'!P4),(0),(($C$5-('SA Apr 2019'!R4+'SA Apr 2019'!P4))*'SA Apr 2019'!S4/100)),IF(AND('SA Apr 2019'!P4&gt;0,'SA Apr 2019'!R4=""&gt;0),IF(($C$5&lt;'SA Apr 2019'!P4),(0),($C$5-'SA Apr 2019'!P4)*'SA Apr 2019'!Q4/100),0)))</f>
        <v>0</v>
      </c>
      <c r="I10" s="52">
        <f t="shared" si="0"/>
        <v>2375.0749999999998</v>
      </c>
      <c r="J10" s="111">
        <f t="shared" si="1"/>
        <v>9200</v>
      </c>
      <c r="K10" s="112">
        <f t="shared" si="2"/>
        <v>9500.2999999999993</v>
      </c>
      <c r="L10" s="53">
        <f t="shared" si="3"/>
        <v>10450.33</v>
      </c>
      <c r="M10" s="54">
        <f>'SA Apr 2019'!BB4</f>
        <v>0</v>
      </c>
      <c r="N10" s="54">
        <f>'SA Apr 2019'!BC4</f>
        <v>0</v>
      </c>
      <c r="O10" s="54">
        <f>'SA Apr 2019'!BD4</f>
        <v>10</v>
      </c>
      <c r="P10" s="54">
        <f>'SA Apr 2019'!BE4</f>
        <v>0</v>
      </c>
      <c r="Q10" s="54" t="str">
        <f t="shared" si="4"/>
        <v>Pay-on-time off bill</v>
      </c>
      <c r="R10" s="54" t="s">
        <v>543</v>
      </c>
      <c r="S10" s="111">
        <f t="shared" si="5"/>
        <v>9500.2999999999993</v>
      </c>
      <c r="T10" s="112">
        <f t="shared" si="6"/>
        <v>8550.2699999999986</v>
      </c>
      <c r="U10" s="53">
        <f t="shared" si="7"/>
        <v>10450.33</v>
      </c>
      <c r="V10" s="53">
        <f t="shared" si="8"/>
        <v>9405.2969999999987</v>
      </c>
      <c r="W10" s="55">
        <f>'SA Apr 2019'!BL4</f>
        <v>0</v>
      </c>
      <c r="X10" s="56" t="str">
        <f>'SA Apr 2019'!BM4</f>
        <v>n</v>
      </c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</row>
    <row r="11" spans="1:53" x14ac:dyDescent="0.15">
      <c r="A11" s="70" t="str">
        <f>'SA Apr 2019'!K5</f>
        <v>Commander</v>
      </c>
      <c r="B11" s="49" t="str">
        <f>'SA Apr 2019'!L5</f>
        <v>Market offer</v>
      </c>
      <c r="C11" s="46">
        <f>IF('SA Apr 2019'!BP5=0,91*'SA Apr 2019'!M5/100,(91*'SA Apr 2019'!M5/100)+'SA Apr 2019'!BP5/4)</f>
        <v>81.444999999999993</v>
      </c>
      <c r="D11" s="46">
        <f>IF('SA Apr 2019'!O5="",$C$5*'SA Apr 2019'!N5/100,IF($C$5&gt;='SA Apr 2019'!P5,('SA Apr 2019'!P5*'SA Apr 2019'!N5/100),($C$5*'SA Apr 2019'!N5/100)))</f>
        <v>2197.5</v>
      </c>
      <c r="E11" s="46">
        <f>IF(AND('SA Apr 2019'!P5&gt;0,'SA Apr 2019'!R5&gt;0),IF($C$5&lt;'SA Apr 2019'!P5,0,IF($C$5&lt;=('SA Apr 2019'!R5+'SA Apr 2019'!P5),(($C$5-'SA Apr 2019'!P5)*'SA Apr 2019'!Q5/100),(('SA Apr 2019'!R5)*'SA Apr 2019'!Q5/100))),0)</f>
        <v>0</v>
      </c>
      <c r="F11" s="46">
        <f>IF(AND('SA Apr 2019'!Q5&gt;0,'SA Apr 2019'!S5&gt;0),IF($C$5&lt;('SA Apr 2019'!R5+'SA Apr 2019'!P5),0,IF($C$5&lt;=('SA Apr 2019'!T5+'SA Apr 2019'!R5+'SA Apr 2019'!P5),(($C$5-('SA Apr 2019'!R5+'SA Apr 2019'!P5))*'SA Apr 2019'!S5/100),('SA Apr 2019'!T5*'SA Apr 2019'!S5/100))),0)</f>
        <v>0</v>
      </c>
      <c r="G11" s="50">
        <v>0</v>
      </c>
      <c r="H11" s="46">
        <f>IF(AND('SA Apr 2019'!R5&gt;0,'SA Apr 2019'!T5&gt;0),IF(($C$5&lt;'SA Apr 2019'!T5),(0),($C$5-'SA Apr 2019'!T5)*'SA Apr 2019'!U5/100),IF(AND('SA Apr 2019'!R5&gt;0,'SA Apr 2019'!T5=""),IF(($C$5&lt;'SA Apr 2019'!R5+'SA Apr 2019'!P5),(0),(($C$5-('SA Apr 2019'!R5+'SA Apr 2019'!P5))*'SA Apr 2019'!S5/100)),IF(AND('SA Apr 2019'!P5&gt;0,'SA Apr 2019'!R5=""&gt;0),IF(($C$5&lt;'SA Apr 2019'!P5),(0),($C$5-'SA Apr 2019'!P5)*'SA Apr 2019'!Q5/100),0)))</f>
        <v>0</v>
      </c>
      <c r="I11" s="52">
        <f t="shared" si="0"/>
        <v>2278.9450000000002</v>
      </c>
      <c r="J11" s="111">
        <f t="shared" si="1"/>
        <v>8790</v>
      </c>
      <c r="K11" s="112">
        <f t="shared" si="2"/>
        <v>9115.7800000000007</v>
      </c>
      <c r="L11" s="53">
        <f t="shared" si="3"/>
        <v>10027.358000000002</v>
      </c>
      <c r="M11" s="54">
        <f>'SA Apr 2019'!BB5</f>
        <v>0</v>
      </c>
      <c r="N11" s="54">
        <f>'SA Apr 2019'!BC5</f>
        <v>0</v>
      </c>
      <c r="O11" s="54">
        <f>'SA Apr 2019'!BD5</f>
        <v>0</v>
      </c>
      <c r="P11" s="54">
        <f>'SA Apr 2019'!BE5</f>
        <v>20</v>
      </c>
      <c r="Q11" s="54" t="str">
        <f t="shared" si="4"/>
        <v>Pay-on-time off usage</v>
      </c>
      <c r="R11" s="54" t="s">
        <v>543</v>
      </c>
      <c r="S11" s="111">
        <f t="shared" si="5"/>
        <v>9115.7800000000007</v>
      </c>
      <c r="T11" s="112">
        <f t="shared" si="6"/>
        <v>7357.7800000000007</v>
      </c>
      <c r="U11" s="53">
        <f t="shared" si="7"/>
        <v>10027.358000000002</v>
      </c>
      <c r="V11" s="53">
        <f t="shared" si="8"/>
        <v>8093.5580000000018</v>
      </c>
      <c r="W11" s="55">
        <f>'SA Apr 2019'!BL5</f>
        <v>0</v>
      </c>
      <c r="X11" s="56" t="str">
        <f>'SA Apr 2019'!BM5</f>
        <v>n</v>
      </c>
    </row>
    <row r="12" spans="1:53" x14ac:dyDescent="0.15">
      <c r="A12" s="70" t="str">
        <f>'SA Apr 2019'!K6</f>
        <v>Diamond Energy</v>
      </c>
      <c r="B12" s="49" t="str">
        <f>'SA Apr 2019'!L6</f>
        <v>Pay on time discount</v>
      </c>
      <c r="C12" s="46">
        <f>IF('SA Apr 2019'!BP6=0,91*'SA Apr 2019'!M6/100,(91*'SA Apr 2019'!M6/100)+'SA Apr 2019'!BP6/4)</f>
        <v>90.545000000000002</v>
      </c>
      <c r="D12" s="46">
        <f>IF('SA Apr 2019'!O6="",$C$5*'SA Apr 2019'!N6/100,IF($C$5&gt;='SA Apr 2019'!P6,('SA Apr 2019'!P6*'SA Apr 2019'!N6/100),($C$5*'SA Apr 2019'!N6/100)))</f>
        <v>389</v>
      </c>
      <c r="E12" s="46">
        <f>IF(AND('SA Apr 2019'!P6&gt;0,'SA Apr 2019'!R6&gt;0),IF($C$5&lt;'SA Apr 2019'!P6,0,IF($C$5&lt;=('SA Apr 2019'!R6+'SA Apr 2019'!P6),(($C$5-'SA Apr 2019'!P6)*'SA Apr 2019'!Q6/100),(('SA Apr 2019'!R6)*'SA Apr 2019'!Q6/100))),0)</f>
        <v>599.25000000000011</v>
      </c>
      <c r="F12" s="46">
        <f>IF(AND('SA Apr 2019'!Q6&gt;0,'SA Apr 2019'!S6&gt;0),IF($C$5&lt;('SA Apr 2019'!R6+'SA Apr 2019'!P6),0,IF($C$5&lt;=('SA Apr 2019'!T6+'SA Apr 2019'!R6+'SA Apr 2019'!P6),(($C$5-('SA Apr 2019'!R6+'SA Apr 2019'!P6))*'SA Apr 2019'!S6/100),('SA Apr 2019'!T6*'SA Apr 2019'!S6/100))),0)</f>
        <v>0</v>
      </c>
      <c r="G12" s="50">
        <v>0</v>
      </c>
      <c r="H12" s="46">
        <f>IF(AND('SA Apr 2019'!R6&gt;0,'SA Apr 2019'!T6&gt;0),IF(($C$5&lt;'SA Apr 2019'!T6),(0),($C$5-'SA Apr 2019'!T6)*'SA Apr 2019'!U6/100),IF(AND('SA Apr 2019'!R6&gt;0,'SA Apr 2019'!T6=""),IF(($C$5&lt;'SA Apr 2019'!R6+'SA Apr 2019'!P6),(0),(($C$5-('SA Apr 2019'!R6+'SA Apr 2019'!P6))*'SA Apr 2019'!S6/100)),IF(AND('SA Apr 2019'!P6&gt;0,'SA Apr 2019'!R6=""&gt;0),IF(($C$5&lt;'SA Apr 2019'!P6),(0),($C$5-'SA Apr 2019'!P6)*'SA Apr 2019'!Q6/100),0)))</f>
        <v>1024.4999999999998</v>
      </c>
      <c r="I12" s="52">
        <f t="shared" si="0"/>
        <v>2103.2950000000001</v>
      </c>
      <c r="J12" s="111">
        <f t="shared" si="1"/>
        <v>8051</v>
      </c>
      <c r="K12" s="112">
        <f t="shared" si="2"/>
        <v>8413.18</v>
      </c>
      <c r="L12" s="53">
        <f t="shared" si="3"/>
        <v>9254.4980000000014</v>
      </c>
      <c r="M12" s="54">
        <f>'SA Apr 2019'!BB6</f>
        <v>0</v>
      </c>
      <c r="N12" s="54">
        <f>'SA Apr 2019'!BC6</f>
        <v>0</v>
      </c>
      <c r="O12" s="54">
        <f>'SA Apr 2019'!BD6</f>
        <v>7</v>
      </c>
      <c r="P12" s="54">
        <f>'SA Apr 2019'!BE6</f>
        <v>0</v>
      </c>
      <c r="Q12" s="54" t="str">
        <f t="shared" si="4"/>
        <v>Pay-on-time off bill</v>
      </c>
      <c r="R12" s="54" t="s">
        <v>543</v>
      </c>
      <c r="S12" s="111">
        <f t="shared" si="5"/>
        <v>8413.18</v>
      </c>
      <c r="T12" s="112">
        <f t="shared" si="6"/>
        <v>7824.2574000000004</v>
      </c>
      <c r="U12" s="53">
        <f t="shared" si="7"/>
        <v>9254.4980000000014</v>
      </c>
      <c r="V12" s="53">
        <f t="shared" si="8"/>
        <v>8606.683140000001</v>
      </c>
      <c r="W12" s="55">
        <f>'SA Apr 2019'!BL6</f>
        <v>24</v>
      </c>
      <c r="X12" s="56" t="str">
        <f>'SA Apr 2019'!BM6</f>
        <v>y</v>
      </c>
    </row>
    <row r="13" spans="1:53" x14ac:dyDescent="0.15">
      <c r="A13" s="70" t="str">
        <f>'SA Apr 2019'!K7</f>
        <v>EnergyAustralia</v>
      </c>
      <c r="B13" s="49" t="str">
        <f>'SA Apr 2019'!L7</f>
        <v>Everyday Saver Business</v>
      </c>
      <c r="C13" s="46">
        <f>IF('SA Apr 2019'!BP7=0,91*'SA Apr 2019'!M7/100,(91*'SA Apr 2019'!M7/100)+'SA Apr 2019'!BP7/4)</f>
        <v>81.536000000000001</v>
      </c>
      <c r="D13" s="46">
        <f>IF('SA Apr 2019'!O7="",$C$5*'SA Apr 2019'!N7/100,IF($C$5&gt;='SA Apr 2019'!P7,('SA Apr 2019'!P7*'SA Apr 2019'!N7/100),($C$5*'SA Apr 2019'!N7/100)))</f>
        <v>2310</v>
      </c>
      <c r="E13" s="46">
        <f>IF(AND('SA Apr 2019'!P7&gt;0,'SA Apr 2019'!R7&gt;0),IF($C$5&lt;'SA Apr 2019'!P7,0,IF($C$5&lt;=('SA Apr 2019'!R7+'SA Apr 2019'!P7),(($C$5-'SA Apr 2019'!P7)*'SA Apr 2019'!Q7/100),(('SA Apr 2019'!R7)*'SA Apr 2019'!Q7/100))),0)</f>
        <v>0</v>
      </c>
      <c r="F13" s="46">
        <f>IF(AND('SA Apr 2019'!Q7&gt;0,'SA Apr 2019'!S7&gt;0),IF($C$5&lt;('SA Apr 2019'!R7+'SA Apr 2019'!P7),0,IF($C$5&lt;=('SA Apr 2019'!T7+'SA Apr 2019'!R7+'SA Apr 2019'!P7),(($C$5-('SA Apr 2019'!R7+'SA Apr 2019'!P7))*'SA Apr 2019'!S7/100),('SA Apr 2019'!T7*'SA Apr 2019'!S7/100))),0)</f>
        <v>0</v>
      </c>
      <c r="G13" s="50">
        <v>0</v>
      </c>
      <c r="H13" s="46">
        <f>IF(AND('SA Apr 2019'!R7&gt;0,'SA Apr 2019'!T7&gt;0),IF(($C$5&lt;'SA Apr 2019'!T7),(0),($C$5-'SA Apr 2019'!T7)*'SA Apr 2019'!U7/100),IF(AND('SA Apr 2019'!R7&gt;0,'SA Apr 2019'!T7=""),IF(($C$5&lt;'SA Apr 2019'!R7+'SA Apr 2019'!P7),(0),(($C$5-('SA Apr 2019'!R7+'SA Apr 2019'!P7))*'SA Apr 2019'!S7/100)),IF(AND('SA Apr 2019'!P7&gt;0,'SA Apr 2019'!R7=""&gt;0),IF(($C$5&lt;'SA Apr 2019'!P7),(0),($C$5-'SA Apr 2019'!P7)*'SA Apr 2019'!Q7/100),0)))</f>
        <v>0</v>
      </c>
      <c r="I13" s="52">
        <f t="shared" si="0"/>
        <v>2391.5360000000001</v>
      </c>
      <c r="J13" s="111">
        <f t="shared" si="1"/>
        <v>9240</v>
      </c>
      <c r="K13" s="112">
        <f t="shared" si="2"/>
        <v>9566.1440000000002</v>
      </c>
      <c r="L13" s="53">
        <f t="shared" si="3"/>
        <v>10522.758400000001</v>
      </c>
      <c r="M13" s="54">
        <f>'SA Apr 2019'!BB7</f>
        <v>0</v>
      </c>
      <c r="N13" s="54">
        <f>'SA Apr 2019'!BC7</f>
        <v>18</v>
      </c>
      <c r="O13" s="54">
        <f>'SA Apr 2019'!BD7</f>
        <v>0</v>
      </c>
      <c r="P13" s="54">
        <f>'SA Apr 2019'!BE7</f>
        <v>0</v>
      </c>
      <c r="Q13" s="54" t="str">
        <f t="shared" si="4"/>
        <v>Guaranteed off usage</v>
      </c>
      <c r="R13" s="54" t="s">
        <v>543</v>
      </c>
      <c r="S13" s="111">
        <f t="shared" si="5"/>
        <v>7902.9440000000004</v>
      </c>
      <c r="T13" s="112">
        <f t="shared" si="6"/>
        <v>7902.9440000000004</v>
      </c>
      <c r="U13" s="53">
        <f t="shared" si="7"/>
        <v>8693.238400000002</v>
      </c>
      <c r="V13" s="53">
        <f t="shared" si="8"/>
        <v>8693.238400000002</v>
      </c>
      <c r="W13" s="55">
        <f>'SA Apr 2019'!BL7</f>
        <v>0</v>
      </c>
      <c r="X13" s="56" t="str">
        <f>'SA Apr 2019'!BM7</f>
        <v>n</v>
      </c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</row>
    <row r="14" spans="1:53" x14ac:dyDescent="0.15">
      <c r="A14" s="70" t="str">
        <f>'SA Apr 2019'!K8</f>
        <v>Lumo Energy</v>
      </c>
      <c r="B14" s="49" t="str">
        <f>'SA Apr 2019'!L8</f>
        <v>Value</v>
      </c>
      <c r="C14" s="46">
        <f>IF('SA Apr 2019'!BP8=0,91*'SA Apr 2019'!M8/100,(91*'SA Apr 2019'!M8/100)+'SA Apr 2019'!BP8/4)</f>
        <v>77.349999999999994</v>
      </c>
      <c r="D14" s="46">
        <f>IF('SA Apr 2019'!O8="",$C$5*'SA Apr 2019'!N8/100,IF($C$5&gt;='SA Apr 2019'!P8,('SA Apr 2019'!P8*'SA Apr 2019'!N8/100),($C$5*'SA Apr 2019'!N8/100)))</f>
        <v>862.5</v>
      </c>
      <c r="E14" s="46">
        <f>IF(AND('SA Apr 2019'!P8&gt;0,'SA Apr 2019'!R8&gt;0),IF($C$5&lt;'SA Apr 2019'!P8,0,IF($C$5&lt;=('SA Apr 2019'!R8+'SA Apr 2019'!P8),(($C$5-'SA Apr 2019'!P8)*'SA Apr 2019'!Q8/100),(('SA Apr 2019'!R8)*'SA Apr 2019'!Q8/100))),0)</f>
        <v>0</v>
      </c>
      <c r="F14" s="46">
        <f>IF(AND('SA Apr 2019'!Q8&gt;0,'SA Apr 2019'!S8&gt;0),IF($C$5&lt;('SA Apr 2019'!R8+'SA Apr 2019'!P8),0,IF($C$5&lt;=('SA Apr 2019'!T8+'SA Apr 2019'!R8+'SA Apr 2019'!P8),(($C$5-('SA Apr 2019'!R8+'SA Apr 2019'!P8))*'SA Apr 2019'!S8/100),('SA Apr 2019'!T8*'SA Apr 2019'!S8/100))),0)</f>
        <v>0</v>
      </c>
      <c r="G14" s="50">
        <v>0</v>
      </c>
      <c r="H14" s="46">
        <f>IF(AND('SA Apr 2019'!R8&gt;0,'SA Apr 2019'!T8&gt;0),IF(($C$5&lt;'SA Apr 2019'!T8),(0),($C$5-'SA Apr 2019'!T8)*'SA Apr 2019'!U8/100),IF(AND('SA Apr 2019'!R8&gt;0,'SA Apr 2019'!T8=""),IF(($C$5&lt;'SA Apr 2019'!R8+'SA Apr 2019'!P8),(0),(($C$5-('SA Apr 2019'!R8+'SA Apr 2019'!P8))*'SA Apr 2019'!S8/100)),IF(AND('SA Apr 2019'!P8&gt;0,'SA Apr 2019'!R8=""&gt;0),IF(($C$5&lt;'SA Apr 2019'!P8),(0),($C$5-'SA Apr 2019'!P8)*'SA Apr 2019'!Q8/100),0)))</f>
        <v>852.5</v>
      </c>
      <c r="I14" s="52">
        <f t="shared" si="0"/>
        <v>1792.35</v>
      </c>
      <c r="J14" s="111">
        <f t="shared" si="1"/>
        <v>6860</v>
      </c>
      <c r="K14" s="112">
        <f t="shared" si="2"/>
        <v>7169.4</v>
      </c>
      <c r="L14" s="53">
        <f t="shared" si="3"/>
        <v>7886.34</v>
      </c>
      <c r="M14" s="54">
        <f>'SA Apr 2019'!BB8</f>
        <v>0</v>
      </c>
      <c r="N14" s="54">
        <f>'SA Apr 2019'!BC8</f>
        <v>0</v>
      </c>
      <c r="O14" s="54">
        <f>'SA Apr 2019'!BD8</f>
        <v>3</v>
      </c>
      <c r="P14" s="54">
        <f>'SA Apr 2019'!BE8</f>
        <v>0</v>
      </c>
      <c r="Q14" s="54" t="str">
        <f t="shared" si="4"/>
        <v>Pay-on-time off bill</v>
      </c>
      <c r="R14" s="54" t="s">
        <v>543</v>
      </c>
      <c r="S14" s="111">
        <f t="shared" si="5"/>
        <v>7169.4</v>
      </c>
      <c r="T14" s="112">
        <f t="shared" si="6"/>
        <v>6954.3179999999993</v>
      </c>
      <c r="U14" s="53">
        <f t="shared" si="7"/>
        <v>7886.34</v>
      </c>
      <c r="V14" s="53">
        <f t="shared" si="8"/>
        <v>7649.7497999999996</v>
      </c>
      <c r="W14" s="55">
        <f>'SA Apr 2019'!BL8</f>
        <v>0</v>
      </c>
      <c r="X14" s="56" t="str">
        <f>'SA Apr 2019'!BM8</f>
        <v>n</v>
      </c>
    </row>
    <row r="15" spans="1:53" x14ac:dyDescent="0.15">
      <c r="A15" s="70" t="str">
        <f>'SA Apr 2019'!K9</f>
        <v>Momentum Energy</v>
      </c>
      <c r="B15" s="49" t="str">
        <f>'SA Apr 2019'!L9</f>
        <v>SmilePower Flexi</v>
      </c>
      <c r="C15" s="46">
        <f>IF('SA Apr 2019'!BP9=0,91*'SA Apr 2019'!M9/100,(91*'SA Apr 2019'!M9/100)+'SA Apr 2019'!BP9/4)</f>
        <v>87.259900000000002</v>
      </c>
      <c r="D15" s="46">
        <f>IF('SA Apr 2019'!O9="",$C$5*'SA Apr 2019'!N9/100,IF($C$5&gt;='SA Apr 2019'!P9,('SA Apr 2019'!P9*'SA Apr 2019'!N9/100),($C$5*'SA Apr 2019'!N9/100)))</f>
        <v>387.72</v>
      </c>
      <c r="E15" s="46">
        <f>IF(AND('SA Apr 2019'!P9&gt;0,'SA Apr 2019'!R9&gt;0),IF($C$5&lt;'SA Apr 2019'!P9,0,IF($C$5&lt;=('SA Apr 2019'!R9+'SA Apr 2019'!P9),(($C$5-'SA Apr 2019'!P9)*'SA Apr 2019'!Q9/100),(('SA Apr 2019'!R9)*'SA Apr 2019'!Q9/100))),0)</f>
        <v>0</v>
      </c>
      <c r="F15" s="46">
        <f>IF(AND('SA Apr 2019'!Q9&gt;0,'SA Apr 2019'!S9&gt;0),IF($C$5&lt;('SA Apr 2019'!R9+'SA Apr 2019'!P9),0,IF($C$5&lt;=('SA Apr 2019'!T9+'SA Apr 2019'!R9+'SA Apr 2019'!P9),(($C$5-('SA Apr 2019'!R9+'SA Apr 2019'!P9))*'SA Apr 2019'!S9/100),('SA Apr 2019'!T9*'SA Apr 2019'!S9/100))),0)</f>
        <v>0</v>
      </c>
      <c r="G15" s="50">
        <v>0</v>
      </c>
      <c r="H15" s="46">
        <f>IF(AND('SA Apr 2019'!R9&gt;0,'SA Apr 2019'!T9&gt;0),IF(($C$5&lt;'SA Apr 2019'!T9),(0),($C$5-'SA Apr 2019'!T9)*'SA Apr 2019'!U9/100),IF(AND('SA Apr 2019'!R9&gt;0,'SA Apr 2019'!T9=""),IF(($C$5&lt;'SA Apr 2019'!R9+'SA Apr 2019'!P9),(0),(($C$5-('SA Apr 2019'!R9+'SA Apr 2019'!P9))*'SA Apr 2019'!S9/100)),IF(AND('SA Apr 2019'!P9&gt;0,'SA Apr 2019'!R9=""&gt;0),IF(($C$5&lt;'SA Apr 2019'!P9),(0),($C$5-'SA Apr 2019'!P9)*'SA Apr 2019'!Q9/100),0)))</f>
        <v>1227.7800000000002</v>
      </c>
      <c r="I15" s="52">
        <f t="shared" si="0"/>
        <v>1702.7599000000002</v>
      </c>
      <c r="J15" s="111">
        <f t="shared" si="1"/>
        <v>6462.0000000000009</v>
      </c>
      <c r="K15" s="112">
        <f t="shared" si="2"/>
        <v>6811.039600000001</v>
      </c>
      <c r="L15" s="53">
        <f t="shared" si="3"/>
        <v>7492.1435600000013</v>
      </c>
      <c r="M15" s="54">
        <f>'SA Apr 2019'!BB9</f>
        <v>0</v>
      </c>
      <c r="N15" s="54">
        <f>'SA Apr 2019'!BC9</f>
        <v>0</v>
      </c>
      <c r="O15" s="54">
        <f>'SA Apr 2019'!BD9</f>
        <v>0</v>
      </c>
      <c r="P15" s="54">
        <f>'SA Apr 2019'!BE9</f>
        <v>0</v>
      </c>
      <c r="Q15" s="54" t="str">
        <f t="shared" si="4"/>
        <v>No discount</v>
      </c>
      <c r="R15" s="54" t="s">
        <v>543</v>
      </c>
      <c r="S15" s="111">
        <f t="shared" si="5"/>
        <v>6811.039600000001</v>
      </c>
      <c r="T15" s="112">
        <f t="shared" si="6"/>
        <v>6811.039600000001</v>
      </c>
      <c r="U15" s="53">
        <f t="shared" si="7"/>
        <v>7492.1435600000013</v>
      </c>
      <c r="V15" s="53">
        <f t="shared" si="8"/>
        <v>7492.1435600000013</v>
      </c>
      <c r="W15" s="55">
        <f>'SA Apr 2019'!BL9</f>
        <v>0</v>
      </c>
      <c r="X15" s="56" t="str">
        <f>'SA Apr 2019'!BM9</f>
        <v>n</v>
      </c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</row>
    <row r="16" spans="1:53" x14ac:dyDescent="0.15">
      <c r="A16" s="70" t="str">
        <f>'SA Apr 2019'!K10</f>
        <v>Origin Energy</v>
      </c>
      <c r="B16" s="49" t="str">
        <f>'SA Apr 2019'!L10</f>
        <v>Business Saver</v>
      </c>
      <c r="C16" s="46">
        <f>IF('SA Apr 2019'!BP10=0,91*'SA Apr 2019'!M10/100,(91*'SA Apr 2019'!M10/100)+'SA Apr 2019'!BP10/4)</f>
        <v>81.608800000000016</v>
      </c>
      <c r="D16" s="46">
        <f>IF('SA Apr 2019'!O10="",$C$5*'SA Apr 2019'!N10/100,IF($C$5&gt;='SA Apr 2019'!P10,('SA Apr 2019'!P10*'SA Apr 2019'!N10/100),($C$5*'SA Apr 2019'!N10/100)))</f>
        <v>1988.5000000000002</v>
      </c>
      <c r="E16" s="46">
        <f>IF(AND('SA Apr 2019'!P10&gt;0,'SA Apr 2019'!R10&gt;0),IF($C$5&lt;'SA Apr 2019'!P10,0,IF($C$5&lt;=('SA Apr 2019'!R10+'SA Apr 2019'!P10),(($C$5-'SA Apr 2019'!P10)*'SA Apr 2019'!Q10/100),(('SA Apr 2019'!R10)*'SA Apr 2019'!Q10/100))),0)</f>
        <v>0</v>
      </c>
      <c r="F16" s="46">
        <f>IF(AND('SA Apr 2019'!Q10&gt;0,'SA Apr 2019'!S10&gt;0),IF($C$5&lt;('SA Apr 2019'!R10+'SA Apr 2019'!P10),0,IF($C$5&lt;=('SA Apr 2019'!T10+'SA Apr 2019'!R10+'SA Apr 2019'!P10),(($C$5-('SA Apr 2019'!R10+'SA Apr 2019'!P10))*'SA Apr 2019'!S10/100),('SA Apr 2019'!T10*'SA Apr 2019'!S10/100))),0)</f>
        <v>0</v>
      </c>
      <c r="G16" s="50">
        <v>0</v>
      </c>
      <c r="H16" s="46">
        <f>IF(AND('SA Apr 2019'!R10&gt;0,'SA Apr 2019'!T10&gt;0),IF(($C$5&lt;'SA Apr 2019'!T10),(0),($C$5-'SA Apr 2019'!T10)*'SA Apr 2019'!U10/100),IF(AND('SA Apr 2019'!R10&gt;0,'SA Apr 2019'!T10=""),IF(($C$5&lt;'SA Apr 2019'!R10+'SA Apr 2019'!P10),(0),(($C$5-('SA Apr 2019'!R10+'SA Apr 2019'!P10))*'SA Apr 2019'!S10/100)),IF(AND('SA Apr 2019'!P10&gt;0,'SA Apr 2019'!R10=""&gt;0),IF(($C$5&lt;'SA Apr 2019'!P10),(0),($C$5-'SA Apr 2019'!P10)*'SA Apr 2019'!Q10/100),0)))</f>
        <v>0</v>
      </c>
      <c r="I16" s="52">
        <f t="shared" si="0"/>
        <v>2070.1088000000004</v>
      </c>
      <c r="J16" s="111">
        <f t="shared" si="1"/>
        <v>7954.0000000000018</v>
      </c>
      <c r="K16" s="112">
        <f t="shared" si="2"/>
        <v>8280.4352000000017</v>
      </c>
      <c r="L16" s="53">
        <f t="shared" si="3"/>
        <v>9108.4787200000028</v>
      </c>
      <c r="M16" s="54">
        <f>'SA Apr 2019'!BB10</f>
        <v>0</v>
      </c>
      <c r="N16" s="54">
        <f>'SA Apr 2019'!BC10</f>
        <v>16</v>
      </c>
      <c r="O16" s="54">
        <f>'SA Apr 2019'!BD10</f>
        <v>0</v>
      </c>
      <c r="P16" s="54">
        <f>'SA Apr 2019'!BE10</f>
        <v>0</v>
      </c>
      <c r="Q16" s="54" t="str">
        <f t="shared" si="4"/>
        <v>Guaranteed off usage</v>
      </c>
      <c r="R16" s="54" t="s">
        <v>543</v>
      </c>
      <c r="S16" s="111">
        <f t="shared" si="5"/>
        <v>7007.7952000000014</v>
      </c>
      <c r="T16" s="112">
        <f t="shared" si="6"/>
        <v>7007.7952000000014</v>
      </c>
      <c r="U16" s="53">
        <f t="shared" si="7"/>
        <v>7708.5747200000023</v>
      </c>
      <c r="V16" s="53">
        <f t="shared" si="8"/>
        <v>7708.5747200000023</v>
      </c>
      <c r="W16" s="55">
        <f>'SA Apr 2019'!BL10</f>
        <v>12</v>
      </c>
      <c r="X16" s="56" t="str">
        <f>'SA Apr 2019'!BM10</f>
        <v>y</v>
      </c>
    </row>
    <row r="17" spans="1:53" x14ac:dyDescent="0.15">
      <c r="A17" s="70" t="str">
        <f>'SA Apr 2019'!K11</f>
        <v>Powerdirect</v>
      </c>
      <c r="B17" s="49" t="str">
        <f>'SA Apr 2019'!L11</f>
        <v>Market offer</v>
      </c>
      <c r="C17" s="46">
        <f>IF('SA Apr 2019'!BP11=0,91*'SA Apr 2019'!M11/100,(91*'SA Apr 2019'!M11/100)+'SA Apr 2019'!BP11/4)</f>
        <v>82.81</v>
      </c>
      <c r="D17" s="46">
        <f>IF('SA Apr 2019'!O11="",$C$5*'SA Apr 2019'!N11/100,IF($C$5&gt;='SA Apr 2019'!P11,('SA Apr 2019'!P11*'SA Apr 2019'!N11/100),($C$5*'SA Apr 2019'!N11/100)))</f>
        <v>2145</v>
      </c>
      <c r="E17" s="46">
        <f>IF(AND('SA Apr 2019'!P11&gt;0,'SA Apr 2019'!R11&gt;0),IF($C$5&lt;'SA Apr 2019'!P11,0,IF($C$5&lt;=('SA Apr 2019'!R11+'SA Apr 2019'!P11),(($C$5-'SA Apr 2019'!P11)*'SA Apr 2019'!Q11/100),(('SA Apr 2019'!R11)*'SA Apr 2019'!Q11/100))),0)</f>
        <v>0</v>
      </c>
      <c r="F17" s="46">
        <f>IF(AND('SA Apr 2019'!Q11&gt;0,'SA Apr 2019'!S11&gt;0),IF($C$5&lt;('SA Apr 2019'!R11+'SA Apr 2019'!P11),0,IF($C$5&lt;=('SA Apr 2019'!T11+'SA Apr 2019'!R11+'SA Apr 2019'!P11),(($C$5-('SA Apr 2019'!R11+'SA Apr 2019'!P11))*'SA Apr 2019'!S11/100),('SA Apr 2019'!T11*'SA Apr 2019'!S11/100))),0)</f>
        <v>0</v>
      </c>
      <c r="G17" s="50">
        <v>0</v>
      </c>
      <c r="H17" s="46">
        <f>IF(AND('SA Apr 2019'!R11&gt;0,'SA Apr 2019'!T11&gt;0),IF(($C$5&lt;'SA Apr 2019'!T11),(0),($C$5-'SA Apr 2019'!T11)*'SA Apr 2019'!U11/100),IF(AND('SA Apr 2019'!R11&gt;0,'SA Apr 2019'!T11=""),IF(($C$5&lt;'SA Apr 2019'!R11+'SA Apr 2019'!P11),(0),(($C$5-('SA Apr 2019'!R11+'SA Apr 2019'!P11))*'SA Apr 2019'!S11/100)),IF(AND('SA Apr 2019'!P11&gt;0,'SA Apr 2019'!R11=""&gt;0),IF(($C$5&lt;'SA Apr 2019'!P11),(0),($C$5-'SA Apr 2019'!P11)*'SA Apr 2019'!Q11/100),0)))</f>
        <v>0</v>
      </c>
      <c r="I17" s="52">
        <f t="shared" si="0"/>
        <v>2227.81</v>
      </c>
      <c r="J17" s="111">
        <f t="shared" si="1"/>
        <v>8580</v>
      </c>
      <c r="K17" s="112">
        <f t="shared" si="2"/>
        <v>8911.24</v>
      </c>
      <c r="L17" s="53">
        <f t="shared" si="3"/>
        <v>9802.3640000000014</v>
      </c>
      <c r="M17" s="54">
        <f>'SA Apr 2019'!BB11</f>
        <v>0</v>
      </c>
      <c r="N17" s="54">
        <f>'SA Apr 2019'!BC11</f>
        <v>16</v>
      </c>
      <c r="O17" s="54">
        <f>'SA Apr 2019'!BD11</f>
        <v>0</v>
      </c>
      <c r="P17" s="54">
        <f>'SA Apr 2019'!BE11</f>
        <v>0</v>
      </c>
      <c r="Q17" s="54" t="str">
        <f t="shared" si="4"/>
        <v>Guaranteed off usage</v>
      </c>
      <c r="R17" s="54" t="s">
        <v>543</v>
      </c>
      <c r="S17" s="111">
        <f t="shared" si="5"/>
        <v>7538.44</v>
      </c>
      <c r="T17" s="112">
        <f t="shared" si="6"/>
        <v>7538.44</v>
      </c>
      <c r="U17" s="53">
        <f t="shared" si="7"/>
        <v>8292.2839999999997</v>
      </c>
      <c r="V17" s="53">
        <f t="shared" si="8"/>
        <v>8292.2839999999997</v>
      </c>
      <c r="W17" s="55">
        <f>'SA Apr 2019'!BL11</f>
        <v>0</v>
      </c>
      <c r="X17" s="56" t="str">
        <f>'SA Apr 2019'!BM11</f>
        <v>n</v>
      </c>
    </row>
    <row r="18" spans="1:53" x14ac:dyDescent="0.15">
      <c r="A18" s="70" t="str">
        <f>'SA Apr 2019'!K12</f>
        <v>Red Energy</v>
      </c>
      <c r="B18" s="49" t="str">
        <f>'SA Apr 2019'!L12</f>
        <v>No exit fee saver</v>
      </c>
      <c r="C18" s="46">
        <f>IF('SA Apr 2019'!BP12=0,91*'SA Apr 2019'!M12/100,(91*'SA Apr 2019'!M12/100)+'SA Apr 2019'!BP12/4)</f>
        <v>91.454999999999998</v>
      </c>
      <c r="D18" s="46">
        <f>IF('SA Apr 2019'!O12="",$C$5*'SA Apr 2019'!N12/100,IF($C$5&gt;='SA Apr 2019'!P12,('SA Apr 2019'!P12*'SA Apr 2019'!N12/100),($C$5*'SA Apr 2019'!N12/100)))</f>
        <v>997.5</v>
      </c>
      <c r="E18" s="46">
        <f>IF(AND('SA Apr 2019'!P12&gt;0,'SA Apr 2019'!R12&gt;0),IF($C$5&lt;'SA Apr 2019'!P12,0,IF($C$5&lt;=('SA Apr 2019'!R12+'SA Apr 2019'!P12),(($C$5-'SA Apr 2019'!P12)*'SA Apr 2019'!Q12/100),(('SA Apr 2019'!R12)*'SA Apr 2019'!Q12/100))),0)</f>
        <v>0</v>
      </c>
      <c r="F18" s="46">
        <f>IF(AND('SA Apr 2019'!Q12&gt;0,'SA Apr 2019'!S12&gt;0),IF($C$5&lt;('SA Apr 2019'!R12+'SA Apr 2019'!P12),0,IF($C$5&lt;=('SA Apr 2019'!T12+'SA Apr 2019'!R12+'SA Apr 2019'!P12),(($C$5-('SA Apr 2019'!R12+'SA Apr 2019'!P12))*'SA Apr 2019'!S12/100),('SA Apr 2019'!T12*'SA Apr 2019'!S12/100))),0)</f>
        <v>0</v>
      </c>
      <c r="G18" s="50">
        <v>0</v>
      </c>
      <c r="H18" s="46">
        <f>IF(AND('SA Apr 2019'!R12&gt;0,'SA Apr 2019'!T12&gt;0),IF(($C$5&lt;'SA Apr 2019'!T12),(0),($C$5-'SA Apr 2019'!T12)*'SA Apr 2019'!U12/100),IF(AND('SA Apr 2019'!R12&gt;0,'SA Apr 2019'!T12=""),IF(($C$5&lt;'SA Apr 2019'!R12+'SA Apr 2019'!P12),(0),(($C$5-('SA Apr 2019'!R12+'SA Apr 2019'!P12))*'SA Apr 2019'!S12/100)),IF(AND('SA Apr 2019'!P12&gt;0,'SA Apr 2019'!R12=""&gt;0),IF(($C$5&lt;'SA Apr 2019'!P12),(0),($C$5-'SA Apr 2019'!P12)*'SA Apr 2019'!Q12/100),0)))</f>
        <v>1050</v>
      </c>
      <c r="I18" s="52">
        <f t="shared" si="0"/>
        <v>2138.9549999999999</v>
      </c>
      <c r="J18" s="111">
        <f t="shared" si="1"/>
        <v>8190</v>
      </c>
      <c r="K18" s="112">
        <f t="shared" si="2"/>
        <v>8555.82</v>
      </c>
      <c r="L18" s="53">
        <f t="shared" si="3"/>
        <v>9411.402</v>
      </c>
      <c r="M18" s="54">
        <f>'SA Apr 2019'!BB12</f>
        <v>0</v>
      </c>
      <c r="N18" s="54">
        <f>'SA Apr 2019'!BC12</f>
        <v>0</v>
      </c>
      <c r="O18" s="54">
        <f>'SA Apr 2019'!BD12</f>
        <v>10</v>
      </c>
      <c r="P18" s="54">
        <f>'SA Apr 2019'!BE12</f>
        <v>0</v>
      </c>
      <c r="Q18" s="54" t="str">
        <f t="shared" si="4"/>
        <v>Pay-on-time off bill</v>
      </c>
      <c r="R18" s="54" t="s">
        <v>543</v>
      </c>
      <c r="S18" s="111">
        <f t="shared" si="5"/>
        <v>8555.82</v>
      </c>
      <c r="T18" s="112">
        <f t="shared" si="6"/>
        <v>7700.2379999999994</v>
      </c>
      <c r="U18" s="53">
        <f t="shared" si="7"/>
        <v>9411.402</v>
      </c>
      <c r="V18" s="53">
        <f t="shared" si="8"/>
        <v>8470.2618000000002</v>
      </c>
      <c r="W18" s="55">
        <f>'SA Apr 2019'!BL12</f>
        <v>0</v>
      </c>
      <c r="X18" s="56" t="str">
        <f>'SA Apr 2019'!BM12</f>
        <v>n</v>
      </c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</row>
    <row r="19" spans="1:53" x14ac:dyDescent="0.15">
      <c r="A19" s="70" t="str">
        <f>'SA Apr 2019'!K13</f>
        <v>Simply Energy</v>
      </c>
      <c r="B19" s="49" t="str">
        <f>'SA Apr 2019'!L13</f>
        <v>Business Plus</v>
      </c>
      <c r="C19" s="46">
        <f>IF('SA Apr 2019'!BP13=0,91*'SA Apr 2019'!M13/100,(91*'SA Apr 2019'!M13/100)+'SA Apr 2019'!BP13/4)</f>
        <v>78.605800000000002</v>
      </c>
      <c r="D19" s="46">
        <f>IF('SA Apr 2019'!O13="",$C$5*'SA Apr 2019'!N13/100,IF($C$5&gt;='SA Apr 2019'!P13,('SA Apr 2019'!P13*'SA Apr 2019'!N13/100),($C$5*'SA Apr 2019'!N13/100)))</f>
        <v>2017.0000000000002</v>
      </c>
      <c r="E19" s="46">
        <f>IF(AND('SA Apr 2019'!P13&gt;0,'SA Apr 2019'!R13&gt;0),IF($C$5&lt;'SA Apr 2019'!P13,0,IF($C$5&lt;=('SA Apr 2019'!R13+'SA Apr 2019'!P13),(($C$5-'SA Apr 2019'!P13)*'SA Apr 2019'!Q13/100),(('SA Apr 2019'!R13)*'SA Apr 2019'!Q13/100))),0)</f>
        <v>0</v>
      </c>
      <c r="F19" s="46">
        <f>IF(AND('SA Apr 2019'!Q13&gt;0,'SA Apr 2019'!S13&gt;0),IF($C$5&lt;('SA Apr 2019'!R13+'SA Apr 2019'!P13),0,IF($C$5&lt;=('SA Apr 2019'!T13+'SA Apr 2019'!R13+'SA Apr 2019'!P13),(($C$5-('SA Apr 2019'!R13+'SA Apr 2019'!P13))*'SA Apr 2019'!S13/100),('SA Apr 2019'!T13*'SA Apr 2019'!S13/100))),0)</f>
        <v>0</v>
      </c>
      <c r="G19" s="50">
        <v>0</v>
      </c>
      <c r="H19" s="46">
        <f>IF(AND('SA Apr 2019'!R13&gt;0,'SA Apr 2019'!T13&gt;0),IF(($C$5&lt;'SA Apr 2019'!T13),(0),($C$5-'SA Apr 2019'!T13)*'SA Apr 2019'!U13/100),IF(AND('SA Apr 2019'!R13&gt;0,'SA Apr 2019'!T13=""),IF(($C$5&lt;'SA Apr 2019'!R13+'SA Apr 2019'!P13),(0),(($C$5-('SA Apr 2019'!R13+'SA Apr 2019'!P13))*'SA Apr 2019'!S13/100)),IF(AND('SA Apr 2019'!P13&gt;0,'SA Apr 2019'!R13=""&gt;0),IF(($C$5&lt;'SA Apr 2019'!P13),(0),($C$5-'SA Apr 2019'!P13)*'SA Apr 2019'!Q13/100),0)))</f>
        <v>0</v>
      </c>
      <c r="I19" s="52">
        <f t="shared" si="0"/>
        <v>2095.6058000000003</v>
      </c>
      <c r="J19" s="111">
        <f t="shared" si="1"/>
        <v>8068.0000000000009</v>
      </c>
      <c r="K19" s="112">
        <f t="shared" si="2"/>
        <v>8382.4232000000011</v>
      </c>
      <c r="L19" s="53">
        <f t="shared" si="3"/>
        <v>9220.6655200000023</v>
      </c>
      <c r="M19" s="54">
        <f>'SA Apr 2019'!BB13</f>
        <v>0</v>
      </c>
      <c r="N19" s="54">
        <f>'SA Apr 2019'!BC13</f>
        <v>20</v>
      </c>
      <c r="O19" s="54">
        <f>'SA Apr 2019'!BD13</f>
        <v>0</v>
      </c>
      <c r="P19" s="54">
        <f>'SA Apr 2019'!BE13</f>
        <v>0</v>
      </c>
      <c r="Q19" s="54" t="str">
        <f t="shared" si="4"/>
        <v>Guaranteed off usage</v>
      </c>
      <c r="R19" s="54" t="s">
        <v>543</v>
      </c>
      <c r="S19" s="111">
        <f t="shared" si="5"/>
        <v>6768.8232000000007</v>
      </c>
      <c r="T19" s="112">
        <f t="shared" si="6"/>
        <v>6768.8232000000007</v>
      </c>
      <c r="U19" s="53">
        <f t="shared" si="7"/>
        <v>7445.7055200000013</v>
      </c>
      <c r="V19" s="53">
        <f t="shared" si="8"/>
        <v>7445.7055200000013</v>
      </c>
      <c r="W19" s="55">
        <f>'SA Apr 2019'!BL13</f>
        <v>0</v>
      </c>
      <c r="X19" s="56" t="str">
        <f>'SA Apr 2019'!BM13</f>
        <v>n</v>
      </c>
    </row>
    <row r="20" spans="1:53" x14ac:dyDescent="0.15">
      <c r="A20" s="70" t="str">
        <f>'SA Apr 2019'!K14</f>
        <v>Blue NRG</v>
      </c>
      <c r="B20" s="49" t="str">
        <f>'SA Apr 2019'!L14</f>
        <v>Market offer</v>
      </c>
      <c r="C20" s="46">
        <f>IF('SA Apr 2019'!BP14=0,91*'SA Apr 2019'!M14/100,(91*'SA Apr 2019'!M14/100)+'SA Apr 2019'!BP14/4)</f>
        <v>109.30754545454545</v>
      </c>
      <c r="D20" s="46">
        <f>IF('SA Apr 2019'!O14="",$C$5*'SA Apr 2019'!N14/100,IF($C$5&gt;='SA Apr 2019'!P14,('SA Apr 2019'!P14*'SA Apr 2019'!N14/100),($C$5*'SA Apr 2019'!N14/100)))</f>
        <v>1839.5454545454545</v>
      </c>
      <c r="E20" s="46">
        <f>IF(AND('SA Apr 2019'!P14&gt;0,'SA Apr 2019'!R14&gt;0),IF($C$5&lt;'SA Apr 2019'!P14,0,IF($C$5&lt;=('SA Apr 2019'!R14+'SA Apr 2019'!P14),(($C$5-'SA Apr 2019'!P14)*'SA Apr 2019'!Q14/100),(('SA Apr 2019'!R14)*'SA Apr 2019'!Q14/100))),0)</f>
        <v>0</v>
      </c>
      <c r="F20" s="46">
        <f>IF(AND('SA Apr 2019'!Q14&gt;0,'SA Apr 2019'!S14&gt;0),IF($C$5&lt;('SA Apr 2019'!R14+'SA Apr 2019'!P14),0,IF($C$5&lt;=('SA Apr 2019'!T14+'SA Apr 2019'!R14+'SA Apr 2019'!P14),(($C$5-('SA Apr 2019'!R14+'SA Apr 2019'!P14))*'SA Apr 2019'!S14/100),('SA Apr 2019'!T14*'SA Apr 2019'!S14/100))),0)</f>
        <v>0</v>
      </c>
      <c r="G20" s="50">
        <v>0</v>
      </c>
      <c r="H20" s="46">
        <f>IF(AND('SA Apr 2019'!R14&gt;0,'SA Apr 2019'!T14&gt;0),IF(($C$5&lt;'SA Apr 2019'!T14),(0),($C$5-'SA Apr 2019'!T14)*'SA Apr 2019'!U14/100),IF(AND('SA Apr 2019'!R14&gt;0,'SA Apr 2019'!T14=""),IF(($C$5&lt;'SA Apr 2019'!R14+'SA Apr 2019'!P14),(0),(($C$5-('SA Apr 2019'!R14+'SA Apr 2019'!P14))*'SA Apr 2019'!S14/100)),IF(AND('SA Apr 2019'!P14&gt;0,'SA Apr 2019'!R14=""&gt;0),IF(($C$5&lt;'SA Apr 2019'!P14),(0),($C$5-'SA Apr 2019'!P14)*'SA Apr 2019'!Q14/100),0)))</f>
        <v>0</v>
      </c>
      <c r="I20" s="52">
        <f t="shared" si="0"/>
        <v>1948.8530000000001</v>
      </c>
      <c r="J20" s="111">
        <f t="shared" si="1"/>
        <v>7358.181818181818</v>
      </c>
      <c r="K20" s="112">
        <f t="shared" si="2"/>
        <v>7795.4120000000003</v>
      </c>
      <c r="L20" s="53">
        <f t="shared" si="3"/>
        <v>8574.9532000000017</v>
      </c>
      <c r="M20" s="54">
        <f>'SA Apr 2019'!BB14</f>
        <v>0</v>
      </c>
      <c r="N20" s="54">
        <f>'SA Apr 2019'!BC14</f>
        <v>0</v>
      </c>
      <c r="O20" s="54">
        <f>'SA Apr 2019'!BD14</f>
        <v>0</v>
      </c>
      <c r="P20" s="54">
        <f>'SA Apr 2019'!BE14</f>
        <v>0</v>
      </c>
      <c r="Q20" s="54" t="str">
        <f t="shared" si="4"/>
        <v>No discount</v>
      </c>
      <c r="R20" s="54" t="s">
        <v>543</v>
      </c>
      <c r="S20" s="111">
        <f t="shared" si="5"/>
        <v>7795.4120000000003</v>
      </c>
      <c r="T20" s="112">
        <f t="shared" si="6"/>
        <v>7795.4120000000003</v>
      </c>
      <c r="U20" s="53">
        <f t="shared" si="7"/>
        <v>8574.9532000000017</v>
      </c>
      <c r="V20" s="53">
        <f t="shared" si="8"/>
        <v>8574.9532000000017</v>
      </c>
      <c r="W20" s="55">
        <f>'SA Apr 2019'!BL14</f>
        <v>36</v>
      </c>
      <c r="X20" s="56" t="str">
        <f>'SA Apr 2019'!BM14</f>
        <v>n</v>
      </c>
    </row>
    <row r="21" spans="1:53" x14ac:dyDescent="0.15">
      <c r="A21" s="70" t="str">
        <f>'SA Apr 2019'!K15</f>
        <v>Powershop</v>
      </c>
      <c r="B21" s="49" t="str">
        <f>'SA Apr 2019'!L15</f>
        <v>Autopay with Power Saver</v>
      </c>
      <c r="C21" s="46">
        <f>IF('SA Apr 2019'!BP15=0,91*'SA Apr 2019'!M15/100,(91*'SA Apr 2019'!M15/100)+'SA Apr 2019'!BP15/4)</f>
        <v>100.71880000000002</v>
      </c>
      <c r="D21" s="46">
        <f>IF('SA Apr 2019'!O15="",$C$5*'SA Apr 2019'!N15/100,IF($C$5&gt;='SA Apr 2019'!P15,('SA Apr 2019'!P15*'SA Apr 2019'!N15/100),($C$5*'SA Apr 2019'!N15/100)))</f>
        <v>1854.5000000000002</v>
      </c>
      <c r="E21" s="46">
        <f>IF(AND('SA Apr 2019'!P15&gt;0,'SA Apr 2019'!R15&gt;0),IF($C$5&lt;'SA Apr 2019'!P15,0,IF($C$5&lt;=('SA Apr 2019'!R15+'SA Apr 2019'!P15),(($C$5-'SA Apr 2019'!P15)*'SA Apr 2019'!Q15/100),(('SA Apr 2019'!R15)*'SA Apr 2019'!Q15/100))),0)</f>
        <v>0</v>
      </c>
      <c r="F21" s="46">
        <f>IF(AND('SA Apr 2019'!Q15&gt;0,'SA Apr 2019'!S15&gt;0),IF($C$5&lt;('SA Apr 2019'!R15+'SA Apr 2019'!P15),0,IF($C$5&lt;=('SA Apr 2019'!T15+'SA Apr 2019'!R15+'SA Apr 2019'!P15),(($C$5-('SA Apr 2019'!R15+'SA Apr 2019'!P15))*'SA Apr 2019'!S15/100),('SA Apr 2019'!T15*'SA Apr 2019'!S15/100))),0)</f>
        <v>0</v>
      </c>
      <c r="G21" s="50">
        <v>0</v>
      </c>
      <c r="H21" s="46">
        <f>IF(AND('SA Apr 2019'!R15&gt;0,'SA Apr 2019'!T15&gt;0),IF(($C$5&lt;'SA Apr 2019'!T15),(0),($C$5-'SA Apr 2019'!T15)*'SA Apr 2019'!U15/100),IF(AND('SA Apr 2019'!R15&gt;0,'SA Apr 2019'!T15=""),IF(($C$5&lt;'SA Apr 2019'!R15+'SA Apr 2019'!P15),(0),(($C$5-('SA Apr 2019'!R15+'SA Apr 2019'!P15))*'SA Apr 2019'!S15/100)),IF(AND('SA Apr 2019'!P15&gt;0,'SA Apr 2019'!R15=""&gt;0),IF(($C$5&lt;'SA Apr 2019'!P15),(0),($C$5-'SA Apr 2019'!P15)*'SA Apr 2019'!Q15/100),0)))</f>
        <v>0</v>
      </c>
      <c r="I21" s="52">
        <f t="shared" si="0"/>
        <v>1955.2188000000003</v>
      </c>
      <c r="J21" s="111">
        <f t="shared" si="1"/>
        <v>7418.0000000000009</v>
      </c>
      <c r="K21" s="112">
        <f t="shared" si="2"/>
        <v>7820.8752000000013</v>
      </c>
      <c r="L21" s="53">
        <f t="shared" si="3"/>
        <v>8602.9627200000014</v>
      </c>
      <c r="M21" s="54">
        <f>'SA Apr 2019'!BB15</f>
        <v>0</v>
      </c>
      <c r="N21" s="54">
        <f>'SA Apr 2019'!BC15</f>
        <v>0</v>
      </c>
      <c r="O21" s="54">
        <f>'SA Apr 2019'!BD15</f>
        <v>12</v>
      </c>
      <c r="P21" s="54">
        <f>'SA Apr 2019'!BE15</f>
        <v>0</v>
      </c>
      <c r="Q21" s="54" t="str">
        <f t="shared" si="4"/>
        <v>Pay-on-time off bill</v>
      </c>
      <c r="R21" s="54" t="s">
        <v>543</v>
      </c>
      <c r="S21" s="111">
        <f t="shared" si="5"/>
        <v>7820.8752000000013</v>
      </c>
      <c r="T21" s="112">
        <f t="shared" si="6"/>
        <v>6882.3701760000013</v>
      </c>
      <c r="U21" s="53">
        <f t="shared" si="7"/>
        <v>8602.9627200000014</v>
      </c>
      <c r="V21" s="53">
        <f t="shared" si="8"/>
        <v>7570.6071936000017</v>
      </c>
      <c r="W21" s="55">
        <f>'SA Apr 2019'!BL15</f>
        <v>0</v>
      </c>
      <c r="X21" s="56" t="str">
        <f>'SA Apr 2019'!BM15</f>
        <v>n</v>
      </c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</row>
    <row r="22" spans="1:53" x14ac:dyDescent="0.15">
      <c r="A22" s="70" t="str">
        <f>'SA Apr 2019'!K16</f>
        <v>Amaysim</v>
      </c>
      <c r="B22" s="73" t="str">
        <f>'SA Apr 2019'!L16</f>
        <v>Business as you go</v>
      </c>
      <c r="C22" s="46">
        <f>IF('SA Apr 2019'!BP16=0,91*'SA Apr 2019'!M16/100,(91*'SA Apr 2019'!M16/100)+'SA Apr 2019'!BP16/4)</f>
        <v>58.558499999999995</v>
      </c>
      <c r="D22" s="46">
        <f>IF('SA Apr 2019'!O16="",$C$5*'SA Apr 2019'!N16/100,IF($C$5&gt;='SA Apr 2019'!P16,('SA Apr 2019'!P16*'SA Apr 2019'!N16/100),($C$5*'SA Apr 2019'!N16/100)))</f>
        <v>1794</v>
      </c>
      <c r="E22" s="46">
        <f>IF(AND('SA Apr 2019'!P16&gt;0,'SA Apr 2019'!R16&gt;0),IF($C$5&lt;'SA Apr 2019'!P16,0,IF($C$5&lt;=('SA Apr 2019'!R16+'SA Apr 2019'!P16),(($C$5-'SA Apr 2019'!P16)*'SA Apr 2019'!Q16/100),(('SA Apr 2019'!R16)*'SA Apr 2019'!Q16/100))),0)</f>
        <v>0</v>
      </c>
      <c r="F22" s="46">
        <f>IF(AND('SA Apr 2019'!Q16&gt;0,'SA Apr 2019'!S16&gt;0),IF($C$5&lt;('SA Apr 2019'!R16+'SA Apr 2019'!P16),0,IF($C$5&lt;=('SA Apr 2019'!T16+'SA Apr 2019'!R16+'SA Apr 2019'!P16),(($C$5-('SA Apr 2019'!R16+'SA Apr 2019'!P16))*'SA Apr 2019'!S16/100),('SA Apr 2019'!T16*'SA Apr 2019'!S16/100))),0)</f>
        <v>0</v>
      </c>
      <c r="G22" s="50">
        <v>0</v>
      </c>
      <c r="H22" s="46">
        <f>IF(AND('SA Apr 2019'!R16&gt;0,'SA Apr 2019'!T16&gt;0),IF(($C$5&lt;'SA Apr 2019'!T16),(0),($C$5-'SA Apr 2019'!T16)*'SA Apr 2019'!U16/100),IF(AND('SA Apr 2019'!R16&gt;0,'SA Apr 2019'!T16=""),IF(($C$5&lt;'SA Apr 2019'!R16+'SA Apr 2019'!P16),(0),(($C$5-('SA Apr 2019'!R16+'SA Apr 2019'!P16))*'SA Apr 2019'!S16/100)),IF(AND('SA Apr 2019'!P16&gt;0,'SA Apr 2019'!R16=""&gt;0),IF(($C$5&lt;'SA Apr 2019'!P16),(0),($C$5-'SA Apr 2019'!P16)*'SA Apr 2019'!Q16/100),0)))</f>
        <v>0</v>
      </c>
      <c r="I22" s="52">
        <f t="shared" si="0"/>
        <v>1852.5585000000001</v>
      </c>
      <c r="J22" s="111">
        <f t="shared" si="1"/>
        <v>7176</v>
      </c>
      <c r="K22" s="112">
        <f t="shared" si="2"/>
        <v>7410.2340000000004</v>
      </c>
      <c r="L22" s="53">
        <f t="shared" si="3"/>
        <v>8151.2574000000013</v>
      </c>
      <c r="M22" s="54">
        <f>'SA Apr 2019'!BB16</f>
        <v>0</v>
      </c>
      <c r="N22" s="54">
        <f>'SA Apr 2019'!BC16</f>
        <v>0</v>
      </c>
      <c r="O22" s="54">
        <f>'SA Apr 2019'!BD16</f>
        <v>0</v>
      </c>
      <c r="P22" s="54">
        <f>'SA Apr 2019'!BE16</f>
        <v>0</v>
      </c>
      <c r="Q22" s="54" t="str">
        <f t="shared" si="4"/>
        <v>No discount</v>
      </c>
      <c r="R22" s="54" t="s">
        <v>543</v>
      </c>
      <c r="S22" s="111">
        <f t="shared" si="5"/>
        <v>7410.2340000000004</v>
      </c>
      <c r="T22" s="112">
        <f t="shared" si="6"/>
        <v>7410.2340000000004</v>
      </c>
      <c r="U22" s="53">
        <f t="shared" si="7"/>
        <v>8151.2574000000013</v>
      </c>
      <c r="V22" s="53">
        <f t="shared" si="8"/>
        <v>8151.2574000000013</v>
      </c>
      <c r="W22" s="55">
        <f>'SA Apr 2019'!BL16</f>
        <v>0</v>
      </c>
      <c r="X22" s="56" t="str">
        <f>'SA Apr 2019'!BM16</f>
        <v>n</v>
      </c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</row>
    <row r="23" spans="1:53" x14ac:dyDescent="0.15">
      <c r="A23" s="70" t="str">
        <f>'SA Apr 2019'!K17</f>
        <v>Next Business Energy</v>
      </c>
      <c r="B23" s="73" t="str">
        <f>'SA Apr 2019'!L17</f>
        <v>Pay on time</v>
      </c>
      <c r="C23" s="46">
        <f>IF('SA Apr 2019'!BP17=0,91*'SA Apr 2019'!M17/100,(91*'SA Apr 2019'!M17/100)+'SA Apr 2019'!BP17/4)</f>
        <v>86.45</v>
      </c>
      <c r="D23" s="46">
        <f>IF('SA Apr 2019'!O17="",$C$5*'SA Apr 2019'!N17/100,IF($C$5&gt;='SA Apr 2019'!P17,('SA Apr 2019'!P17*'SA Apr 2019'!N17/100),($C$5*'SA Apr 2019'!N17/100)))</f>
        <v>1975</v>
      </c>
      <c r="E23" s="46">
        <f>IF(AND('SA Apr 2019'!P17&gt;0,'SA Apr 2019'!R17&gt;0),IF($C$5&lt;'SA Apr 2019'!P17,0,IF($C$5&lt;=('SA Apr 2019'!R17+'SA Apr 2019'!P17),(($C$5-'SA Apr 2019'!P17)*'SA Apr 2019'!Q17/100),(('SA Apr 2019'!R17)*'SA Apr 2019'!Q17/100))),0)</f>
        <v>0</v>
      </c>
      <c r="F23" s="46">
        <f>IF(AND('SA Apr 2019'!Q17&gt;0,'SA Apr 2019'!S17&gt;0),IF($C$5&lt;('SA Apr 2019'!R17+'SA Apr 2019'!P17),0,IF($C$5&lt;=('SA Apr 2019'!T17+'SA Apr 2019'!R17+'SA Apr 2019'!P17),(($C$5-('SA Apr 2019'!R17+'SA Apr 2019'!P17))*'SA Apr 2019'!S17/100),('SA Apr 2019'!T17*'SA Apr 2019'!S17/100))),0)</f>
        <v>0</v>
      </c>
      <c r="G23" s="50">
        <v>0</v>
      </c>
      <c r="H23" s="46">
        <f>IF(AND('SA Apr 2019'!R17&gt;0,'SA Apr 2019'!T17&gt;0),IF(($C$5&lt;'SA Apr 2019'!T17),(0),($C$5-'SA Apr 2019'!T17)*'SA Apr 2019'!U17/100),IF(AND('SA Apr 2019'!R17&gt;0,'SA Apr 2019'!T17=""),IF(($C$5&lt;'SA Apr 2019'!R17+'SA Apr 2019'!P17),(0),(($C$5-('SA Apr 2019'!R17+'SA Apr 2019'!P17))*'SA Apr 2019'!S17/100)),IF(AND('SA Apr 2019'!P17&gt;0,'SA Apr 2019'!R17=""&gt;0),IF(($C$5&lt;'SA Apr 2019'!P17),(0),($C$5-'SA Apr 2019'!P17)*'SA Apr 2019'!Q17/100),0)))</f>
        <v>0</v>
      </c>
      <c r="I23" s="52">
        <f t="shared" si="0"/>
        <v>2061.4499999999998</v>
      </c>
      <c r="J23" s="111">
        <f t="shared" si="1"/>
        <v>7899.9999999999991</v>
      </c>
      <c r="K23" s="112">
        <f t="shared" si="2"/>
        <v>8245.7999999999993</v>
      </c>
      <c r="L23" s="53">
        <f t="shared" si="3"/>
        <v>9070.3799999999992</v>
      </c>
      <c r="M23" s="54">
        <f>'SA Apr 2019'!BB17</f>
        <v>0</v>
      </c>
      <c r="N23" s="54">
        <f>'SA Apr 2019'!BC17</f>
        <v>0</v>
      </c>
      <c r="O23" s="54">
        <f>'SA Apr 2019'!BD17</f>
        <v>7</v>
      </c>
      <c r="P23" s="54">
        <f>'SA Apr 2019'!BE17</f>
        <v>0</v>
      </c>
      <c r="Q23" s="54" t="str">
        <f t="shared" si="4"/>
        <v>Pay-on-time off bill</v>
      </c>
      <c r="R23" s="54" t="s">
        <v>543</v>
      </c>
      <c r="S23" s="111">
        <f t="shared" si="5"/>
        <v>8245.7999999999993</v>
      </c>
      <c r="T23" s="112">
        <f t="shared" si="6"/>
        <v>7668.5939999999991</v>
      </c>
      <c r="U23" s="53">
        <f t="shared" ref="U23:U24" si="9">S23*1.1</f>
        <v>9070.3799999999992</v>
      </c>
      <c r="V23" s="53">
        <f t="shared" ref="V23:V24" si="10">T23*1.1</f>
        <v>8435.4534000000003</v>
      </c>
      <c r="W23" s="55">
        <f>'SA Apr 2019'!BL17</f>
        <v>24</v>
      </c>
      <c r="X23" s="56" t="str">
        <f>'SA Apr 2019'!BM17</f>
        <v>n</v>
      </c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15" thickBot="1" x14ac:dyDescent="0.2">
      <c r="A24" s="71" t="str">
        <f>'SA Apr 2019'!K18</f>
        <v>Power Club</v>
      </c>
      <c r="B24" s="72" t="str">
        <f>'SA Apr 2019'!L18</f>
        <v>Powerbank Business</v>
      </c>
      <c r="C24" s="58">
        <f>IF('SA Apr 2019'!BP18=0,91*'SA Apr 2019'!M18/100,(91*'SA Apr 2019'!M18/100)+'SA Apr 2019'!BP18/4)</f>
        <v>98.671999999999997</v>
      </c>
      <c r="D24" s="58">
        <f>IF('SA Apr 2019'!O18="",$C$5*'SA Apr 2019'!N18/100,IF($C$5&gt;='SA Apr 2019'!P18,('SA Apr 2019'!P18*'SA Apr 2019'!N18/100),($C$5*'SA Apr 2019'!N18/100)))</f>
        <v>1466</v>
      </c>
      <c r="E24" s="58">
        <f>IF(AND('SA Apr 2019'!P18&gt;0,'SA Apr 2019'!R18&gt;0),IF($C$5&lt;'SA Apr 2019'!P18,0,IF($C$5&lt;=('SA Apr 2019'!R18+'SA Apr 2019'!P18),(($C$5-'SA Apr 2019'!P18)*'SA Apr 2019'!Q18/100),(('SA Apr 2019'!R18)*'SA Apr 2019'!Q18/100))),0)</f>
        <v>0</v>
      </c>
      <c r="F24" s="58">
        <f>IF(AND('SA Apr 2019'!Q18&gt;0,'SA Apr 2019'!S18&gt;0),IF($C$5&lt;('SA Apr 2019'!R18+'SA Apr 2019'!P18),0,IF($C$5&lt;=('SA Apr 2019'!T18+'SA Apr 2019'!R18+'SA Apr 2019'!P18),(($C$5-('SA Apr 2019'!R18+'SA Apr 2019'!P18))*'SA Apr 2019'!S18/100),('SA Apr 2019'!T18*'SA Apr 2019'!S18/100))),0)</f>
        <v>0</v>
      </c>
      <c r="G24" s="59">
        <v>0</v>
      </c>
      <c r="H24" s="58">
        <f>IF(AND('SA Apr 2019'!R18&gt;0,'SA Apr 2019'!T18&gt;0),IF(($C$5&lt;'SA Apr 2019'!T18),(0),($C$5-'SA Apr 2019'!T18)*'SA Apr 2019'!U18/100),IF(AND('SA Apr 2019'!R18&gt;0,'SA Apr 2019'!T18=""),IF(($C$5&lt;'SA Apr 2019'!R18+'SA Apr 2019'!P18),(0),(($C$5-('SA Apr 2019'!R18+'SA Apr 2019'!P18))*'SA Apr 2019'!S18/100)),IF(AND('SA Apr 2019'!P18&gt;0,'SA Apr 2019'!R18=""&gt;0),IF(($C$5&lt;'SA Apr 2019'!P18),(0),($C$5-'SA Apr 2019'!P18)*'SA Apr 2019'!Q18/100),0)))</f>
        <v>0</v>
      </c>
      <c r="I24" s="61">
        <f t="shared" ref="I24" si="11">SUM(C24:H24)</f>
        <v>1564.672</v>
      </c>
      <c r="J24" s="113">
        <f t="shared" si="1"/>
        <v>5864</v>
      </c>
      <c r="K24" s="114">
        <f t="shared" ref="K24" si="12">I24*4</f>
        <v>6258.6880000000001</v>
      </c>
      <c r="L24" s="62">
        <f t="shared" si="3"/>
        <v>6884.5568000000003</v>
      </c>
      <c r="M24" s="63">
        <f>'SA Apr 2019'!BB18</f>
        <v>0</v>
      </c>
      <c r="N24" s="63">
        <f>'SA Apr 2019'!BC18</f>
        <v>0</v>
      </c>
      <c r="O24" s="63">
        <f>'SA Apr 2019'!BD18</f>
        <v>0</v>
      </c>
      <c r="P24" s="63">
        <f>'SA Apr 2019'!BE18</f>
        <v>0</v>
      </c>
      <c r="Q24" s="63" t="str">
        <f t="shared" si="4"/>
        <v>No discount</v>
      </c>
      <c r="R24" s="63" t="s">
        <v>543</v>
      </c>
      <c r="S24" s="113">
        <f t="shared" si="5"/>
        <v>6258.6880000000001</v>
      </c>
      <c r="T24" s="114">
        <f t="shared" si="6"/>
        <v>6258.6880000000001</v>
      </c>
      <c r="U24" s="62">
        <f t="shared" si="9"/>
        <v>6884.5568000000003</v>
      </c>
      <c r="V24" s="62">
        <f t="shared" si="10"/>
        <v>6884.5568000000003</v>
      </c>
      <c r="W24" s="64">
        <f>'SA Apr 2019'!BL18</f>
        <v>0</v>
      </c>
      <c r="X24" s="65" t="str">
        <f>'SA Apr 2019'!BM18</f>
        <v>n</v>
      </c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</row>
    <row r="25" spans="1:53" x14ac:dyDescent="0.15">
      <c r="D25" s="78"/>
      <c r="E25" s="78"/>
      <c r="F25" s="78"/>
      <c r="G25" s="78"/>
      <c r="H25" s="78"/>
      <c r="I25" s="79"/>
      <c r="J25" s="79"/>
    </row>
    <row r="26" spans="1:53" ht="15" thickBot="1" x14ac:dyDescent="0.2">
      <c r="C26" s="78"/>
      <c r="D26" s="78"/>
      <c r="E26" s="78"/>
      <c r="F26" s="78"/>
      <c r="G26" s="78"/>
      <c r="H26" s="78"/>
      <c r="I26" s="79"/>
      <c r="J26" s="79"/>
    </row>
    <row r="27" spans="1:53" x14ac:dyDescent="0.15">
      <c r="A27" s="36" t="s">
        <v>84</v>
      </c>
      <c r="B27" s="37"/>
      <c r="C27" s="37"/>
      <c r="D27" s="42"/>
      <c r="E27" s="42"/>
      <c r="F27" s="42"/>
      <c r="G27" s="42"/>
      <c r="H27" s="42"/>
      <c r="I27" s="43"/>
      <c r="J27" s="43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9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</row>
    <row r="28" spans="1:53" x14ac:dyDescent="0.15">
      <c r="A28" s="40" t="s">
        <v>197</v>
      </c>
      <c r="B28" s="38"/>
      <c r="C28" s="47">
        <v>5000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41"/>
    </row>
    <row r="29" spans="1:53" x14ac:dyDescent="0.15">
      <c r="A29" s="40" t="s">
        <v>85</v>
      </c>
      <c r="B29" s="38"/>
      <c r="C29" s="48">
        <v>0.7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41"/>
    </row>
    <row r="30" spans="1:53" x14ac:dyDescent="0.15">
      <c r="A30" s="40" t="s">
        <v>171</v>
      </c>
      <c r="B30" s="38"/>
      <c r="C30" s="48">
        <v>0.3</v>
      </c>
      <c r="D30" s="44"/>
      <c r="E30" s="44"/>
      <c r="F30" s="44"/>
      <c r="G30" s="44"/>
      <c r="H30" s="44"/>
      <c r="I30" s="45"/>
      <c r="J30" s="45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41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</row>
    <row r="31" spans="1:53" x14ac:dyDescent="0.15">
      <c r="A31" s="38"/>
      <c r="B31" s="38"/>
      <c r="C31" s="44"/>
      <c r="D31" s="44"/>
      <c r="E31" s="44"/>
      <c r="F31" s="44"/>
      <c r="G31" s="44"/>
      <c r="H31" s="44"/>
      <c r="I31" s="45"/>
      <c r="J31" s="45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41"/>
    </row>
    <row r="32" spans="1:53" ht="75" x14ac:dyDescent="0.15">
      <c r="A32" s="271" t="s">
        <v>216</v>
      </c>
      <c r="B32" s="272" t="s">
        <v>198</v>
      </c>
      <c r="C32" s="274" t="s">
        <v>199</v>
      </c>
      <c r="D32" s="274" t="s">
        <v>200</v>
      </c>
      <c r="E32" s="274" t="s">
        <v>201</v>
      </c>
      <c r="F32" s="274" t="s">
        <v>164</v>
      </c>
      <c r="G32" s="274" t="s">
        <v>84</v>
      </c>
      <c r="H32" s="274" t="s">
        <v>233</v>
      </c>
      <c r="I32" s="274" t="s">
        <v>165</v>
      </c>
      <c r="J32" s="275" t="s">
        <v>544</v>
      </c>
      <c r="K32" s="276" t="s">
        <v>166</v>
      </c>
      <c r="L32" s="277" t="s">
        <v>545</v>
      </c>
      <c r="M32" s="278" t="s">
        <v>167</v>
      </c>
      <c r="N32" s="278" t="s">
        <v>168</v>
      </c>
      <c r="O32" s="278" t="s">
        <v>169</v>
      </c>
      <c r="P32" s="278" t="s">
        <v>170</v>
      </c>
      <c r="Q32" s="279" t="s">
        <v>541</v>
      </c>
      <c r="R32" s="279" t="s">
        <v>542</v>
      </c>
      <c r="S32" s="280" t="s">
        <v>546</v>
      </c>
      <c r="T32" s="280" t="s">
        <v>547</v>
      </c>
      <c r="U32" s="281" t="s">
        <v>227</v>
      </c>
      <c r="V32" s="281" t="s">
        <v>272</v>
      </c>
      <c r="W32" s="278" t="s">
        <v>82</v>
      </c>
      <c r="X32" s="282" t="s">
        <v>83</v>
      </c>
    </row>
    <row r="33" spans="1:53" x14ac:dyDescent="0.15">
      <c r="A33" s="70" t="str">
        <f>'SA Apr 2019'!K19</f>
        <v>AGL</v>
      </c>
      <c r="B33" s="49" t="str">
        <f>'SA Apr 2019'!L19</f>
        <v xml:space="preserve">Business Savers </v>
      </c>
      <c r="C33" s="46">
        <f>IF('SA Apr 2019'!BP19=0,91*'SA Apr 2019'!M19/100,(91*'SA Apr 2019'!M19/100)+'SA Apr 2019'!BP19/4)</f>
        <v>82.81</v>
      </c>
      <c r="D33" s="46">
        <f>IF('SA Apr 2019'!O19="",$C$28*$C$29*'SA Apr 2019'!N19/100,IF($C$28*$C$29&gt;='SA Apr 2019'!P19,('SA Apr 2019'!P19*'SA Apr 2019'!N19/100),($C$28*$C$29*'SA Apr 2019'!N19/100)))</f>
        <v>1501.5</v>
      </c>
      <c r="E33" s="46">
        <f>IF(AND('SA Apr 2019'!P19&gt;0,'SA Apr 2019'!R19&gt;0),IF($C$28*$C$29&lt;'SA Apr 2019'!P19,0,IF($C$28*$C$29&lt;=('SA Apr 2019'!R19+'SA Apr 2019'!P19),(($C$28*$C$29-'SA Apr 2019'!P19)*'SA Apr 2019'!Q19/100),(('SA Apr 2019'!R19)*'SA Apr 2019'!Q19/100))),0)</f>
        <v>0</v>
      </c>
      <c r="F33" s="46">
        <f>IF(AND('SA Apr 2019'!R19&gt;0,'SA Apr 2019'!T19&gt;0),IF(($C$28*$C$29&lt;'SA Apr 2019'!T19),(0),($C$28*$C$29-'SA Apr 2019'!T19)*'SA Apr 2019'!U19/100),IF(AND('SA Apr 2019'!R19&gt;0,'SA Apr 2019'!T19=""),IF(($C$28*$C$29&lt;'SA Apr 2019'!R19+'SA Apr 2019'!P19),(0),(($C$28*$C$29-('SA Apr 2019'!R19+'SA Apr 2019'!P19))*'SA Apr 2019'!S19/100)),IF(AND('SA Apr 2019'!P19&gt;0,'SA Apr 2019'!R19=""&gt;0),IF(($C$28*$C$29&lt;'SA Apr 2019'!P19),(0),($C$28*$C$29-'SA Apr 2019'!P19)*'SA Apr 2019'!Q19/100),0)))</f>
        <v>0</v>
      </c>
      <c r="G33" s="50">
        <f>($C$28*$C$30)*'SA Apr 2019'!AF19/100</f>
        <v>328.5</v>
      </c>
      <c r="H33" s="51">
        <v>0</v>
      </c>
      <c r="I33" s="52">
        <f t="shared" ref="I33:I46" si="13">SUM(C33:G33)</f>
        <v>1912.81</v>
      </c>
      <c r="J33" s="111">
        <f>(I33-C33)*4</f>
        <v>7320</v>
      </c>
      <c r="K33" s="112">
        <f>I33*4</f>
        <v>7651.24</v>
      </c>
      <c r="L33" s="53">
        <f>K33*1.1</f>
        <v>8416.3639999999996</v>
      </c>
      <c r="M33" s="54">
        <f>'SA Apr 2019'!BB19</f>
        <v>0</v>
      </c>
      <c r="N33" s="54">
        <f>'SA Apr 2019'!BC19</f>
        <v>18</v>
      </c>
      <c r="O33" s="54">
        <f>'SA Apr 2019'!BD19</f>
        <v>0</v>
      </c>
      <c r="P33" s="54">
        <f>'SA Apr 2019'!BE19</f>
        <v>0</v>
      </c>
      <c r="Q33" s="54" t="str">
        <f>IF(SUM(M33:P33)=0,"No discount",IF(M33&gt;0,"Guaranteed off bill",IF(N33&gt;0,"Guaranteed off usage",IF(O33&gt;0,"Pay-on-time off bill","Pay-on-time off usage"))))</f>
        <v>Guaranteed off usage</v>
      </c>
      <c r="R33" s="54" t="s">
        <v>543</v>
      </c>
      <c r="S33" s="117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6333.6399999999994</v>
      </c>
      <c r="T33" s="118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6333.6399999999994</v>
      </c>
      <c r="U33" s="53">
        <f>S33*1.1</f>
        <v>6967.0039999999999</v>
      </c>
      <c r="V33" s="53">
        <f>T33*1.1</f>
        <v>6967.0039999999999</v>
      </c>
      <c r="W33" s="55">
        <f>'SA Apr 2019'!BL26</f>
        <v>12</v>
      </c>
      <c r="X33" s="56" t="str">
        <f>'SA Apr 2019'!BM26</f>
        <v>y</v>
      </c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1:53" x14ac:dyDescent="0.15">
      <c r="A34" s="70" t="str">
        <f>'SA Apr 2019'!K20</f>
        <v>Alinta Energy</v>
      </c>
      <c r="B34" s="49" t="str">
        <f>'SA Apr 2019'!L20</f>
        <v>Corporate Saver</v>
      </c>
      <c r="C34" s="46">
        <f>IF('SA Apr 2019'!BP20=0,91*'SA Apr 2019'!M20/100,(91*'SA Apr 2019'!M20/100)+'SA Apr 2019'!BP20/4)</f>
        <v>82.355000000000004</v>
      </c>
      <c r="D34" s="46">
        <f>IF('SA Apr 2019'!O20="",$C$28*$C$29*'SA Apr 2019'!N20/100,IF($C$28*$C$29&gt;='SA Apr 2019'!P20,('SA Apr 2019'!P20*'SA Apr 2019'!N20/100),($C$28*$C$29*'SA Apr 2019'!N20/100)))</f>
        <v>1119.75</v>
      </c>
      <c r="E34" s="46">
        <f>IF(AND('SA Apr 2019'!P20&gt;0,'SA Apr 2019'!R20&gt;0),IF($C$28*$C$29&lt;'SA Apr 2019'!P20,0,IF($C$28*$C$29&lt;=('SA Apr 2019'!R20+'SA Apr 2019'!P20),(($C$28*$C$29-'SA Apr 2019'!P20)*'SA Apr 2019'!Q20/100),(('SA Apr 2019'!R20)*'SA Apr 2019'!Q20/100))),0)</f>
        <v>0</v>
      </c>
      <c r="F34" s="46">
        <f>IF(AND('SA Apr 2019'!R20&gt;0,'SA Apr 2019'!T20&gt;0),IF(($C$28*$C$29&lt;'SA Apr 2019'!T20),(0),($C$28*$C$29-'SA Apr 2019'!T20)*'SA Apr 2019'!U20/100),IF(AND('SA Apr 2019'!R20&gt;0,'SA Apr 2019'!T20=""),IF(($C$28*$C$29&lt;'SA Apr 2019'!R20+'SA Apr 2019'!P20),(0),(($C$28*$C$29-('SA Apr 2019'!R20+'SA Apr 2019'!P20))*'SA Apr 2019'!S20/100)),IF(AND('SA Apr 2019'!P20&gt;0,'SA Apr 2019'!R20=""&gt;0),IF(($C$28*$C$29&lt;'SA Apr 2019'!P20),(0),($C$28*$C$29-'SA Apr 2019'!P20)*'SA Apr 2019'!Q20/100),0)))</f>
        <v>447.9</v>
      </c>
      <c r="G34" s="50">
        <f>($C$28*$C$30)*'SA Apr 2019'!AF20/100</f>
        <v>306.75</v>
      </c>
      <c r="H34" s="51">
        <f>IF($C$28*$C$30&lt;'SA Apr 2019'!AG20,(0),((('SA Bills April 2019'!$C$28*'SA Bills April 2019'!$C$30)-('SA Apr 2019'!AG20))*'SA Apr 2019'!AH20/100))</f>
        <v>0</v>
      </c>
      <c r="I34" s="52">
        <f t="shared" si="13"/>
        <v>1956.7550000000001</v>
      </c>
      <c r="J34" s="111">
        <f t="shared" ref="J34:J48" si="14">(I34-C34)*4</f>
        <v>7497.6</v>
      </c>
      <c r="K34" s="112">
        <f t="shared" ref="K34:K46" si="15">I34*4</f>
        <v>7827.02</v>
      </c>
      <c r="L34" s="53">
        <f t="shared" ref="L34:L48" si="16">K34*1.1</f>
        <v>8609.7220000000016</v>
      </c>
      <c r="M34" s="54">
        <f>'SA Apr 2019'!BB20</f>
        <v>0</v>
      </c>
      <c r="N34" s="54">
        <f>'SA Apr 2019'!BC20</f>
        <v>25</v>
      </c>
      <c r="O34" s="54">
        <f>'SA Apr 2019'!BD20</f>
        <v>0</v>
      </c>
      <c r="P34" s="54">
        <f>'SA Apr 2019'!BE20</f>
        <v>0</v>
      </c>
      <c r="Q34" s="54" t="str">
        <f t="shared" ref="Q34:Q48" si="17">IF(SUM(M34:P34)=0,"No discount",IF(M34&gt;0,"Guaranteed off bill",IF(N34&gt;0,"Guaranteed off usage",IF(O34&gt;0,"Pay-on-time off bill","Pay-on-time off usage"))))</f>
        <v>Guaranteed off usage</v>
      </c>
      <c r="R34" s="54" t="s">
        <v>543</v>
      </c>
      <c r="S34" s="111">
        <f t="shared" ref="S34:S48" si="18"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5952.6200000000008</v>
      </c>
      <c r="T34" s="112">
        <f t="shared" ref="T34:T48" si="19"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5952.6200000000008</v>
      </c>
      <c r="U34" s="53">
        <f t="shared" ref="U34:V45" si="20">S34*1.1</f>
        <v>6547.8820000000014</v>
      </c>
      <c r="V34" s="53">
        <f t="shared" si="20"/>
        <v>6547.8820000000014</v>
      </c>
      <c r="W34" s="55">
        <f>'SA Apr 2019'!BL27</f>
        <v>0</v>
      </c>
      <c r="X34" s="56" t="str">
        <f>'SA Apr 2019'!BM27</f>
        <v>n</v>
      </c>
    </row>
    <row r="35" spans="1:53" x14ac:dyDescent="0.15">
      <c r="A35" s="70" t="str">
        <f>'SA Apr 2019'!K21</f>
        <v>Click Energy</v>
      </c>
      <c r="B35" s="49" t="str">
        <f>'SA Apr 2019'!L21</f>
        <v xml:space="preserve">Click Business </v>
      </c>
      <c r="C35" s="46">
        <f>IF('SA Apr 2019'!BP21=0,91*'SA Apr 2019'!M21/100,(91*'SA Apr 2019'!M21/100)+'SA Apr 2019'!BP21/4)</f>
        <v>75.075000000000003</v>
      </c>
      <c r="D35" s="46">
        <f>IF('SA Apr 2019'!O21="",$C$28*$C$29*'SA Apr 2019'!N21/100,IF($C$28*$C$29&gt;='SA Apr 2019'!P21,('SA Apr 2019'!P21*'SA Apr 2019'!N21/100),($C$28*$C$29*'SA Apr 2019'!N21/100)))</f>
        <v>1610</v>
      </c>
      <c r="E35" s="46">
        <f>IF(AND('SA Apr 2019'!P21&gt;0,'SA Apr 2019'!R21&gt;0),IF($C$28*$C$29&lt;'SA Apr 2019'!P21,0,IF($C$28*$C$29&lt;=('SA Apr 2019'!R21+'SA Apr 2019'!P21),(($C$28*$C$29-'SA Apr 2019'!P21)*'SA Apr 2019'!Q21/100),(('SA Apr 2019'!R21)*'SA Apr 2019'!Q21/100))),0)</f>
        <v>0</v>
      </c>
      <c r="F35" s="46">
        <f>IF(AND('SA Apr 2019'!R21&gt;0,'SA Apr 2019'!T21&gt;0),IF(($C$28*$C$29&lt;'SA Apr 2019'!T21),(0),($C$28*$C$29-'SA Apr 2019'!T21)*'SA Apr 2019'!U21/100),IF(AND('SA Apr 2019'!R21&gt;0,'SA Apr 2019'!T21=""),IF(($C$28*$C$29&lt;'SA Apr 2019'!R21+'SA Apr 2019'!P21),(0),(($C$28*$C$29-('SA Apr 2019'!R21+'SA Apr 2019'!P21))*'SA Apr 2019'!S21/100)),IF(AND('SA Apr 2019'!P21&gt;0,'SA Apr 2019'!R21=""&gt;0),IF(($C$28*$C$29&lt;'SA Apr 2019'!P21),(0),($C$28*$C$29-'SA Apr 2019'!P21)*'SA Apr 2019'!Q21/100),0)))</f>
        <v>0</v>
      </c>
      <c r="G35" s="50">
        <f>($C$28*$C$30)*'SA Apr 2019'!AF21/100</f>
        <v>588.00000000000011</v>
      </c>
      <c r="H35" s="51">
        <v>0</v>
      </c>
      <c r="I35" s="52">
        <f t="shared" si="13"/>
        <v>2273.0750000000003</v>
      </c>
      <c r="J35" s="111">
        <f t="shared" si="14"/>
        <v>8792.0000000000018</v>
      </c>
      <c r="K35" s="112">
        <f t="shared" si="15"/>
        <v>9092.3000000000011</v>
      </c>
      <c r="L35" s="53">
        <f t="shared" si="16"/>
        <v>10001.530000000002</v>
      </c>
      <c r="M35" s="54">
        <f>'SA Apr 2019'!BB21</f>
        <v>0</v>
      </c>
      <c r="N35" s="54">
        <f>'SA Apr 2019'!BC21</f>
        <v>0</v>
      </c>
      <c r="O35" s="54">
        <f>'SA Apr 2019'!BD21</f>
        <v>10</v>
      </c>
      <c r="P35" s="54">
        <f>'SA Apr 2019'!BE21</f>
        <v>0</v>
      </c>
      <c r="Q35" s="54" t="str">
        <f t="shared" si="17"/>
        <v>Pay-on-time off bill</v>
      </c>
      <c r="R35" s="54" t="s">
        <v>543</v>
      </c>
      <c r="S35" s="111">
        <f t="shared" si="18"/>
        <v>9092.3000000000011</v>
      </c>
      <c r="T35" s="112">
        <f t="shared" si="19"/>
        <v>8183.0700000000006</v>
      </c>
      <c r="U35" s="53">
        <f t="shared" si="20"/>
        <v>10001.530000000002</v>
      </c>
      <c r="V35" s="53">
        <f t="shared" si="20"/>
        <v>9001.3770000000022</v>
      </c>
      <c r="W35" s="55">
        <f>'SA Apr 2019'!BL28</f>
        <v>0</v>
      </c>
      <c r="X35" s="56" t="str">
        <f>'SA Apr 2019'!BM28</f>
        <v>n</v>
      </c>
    </row>
    <row r="36" spans="1:53" x14ac:dyDescent="0.15">
      <c r="A36" s="70" t="str">
        <f>'SA Apr 2019'!K22</f>
        <v>Commander</v>
      </c>
      <c r="B36" s="49" t="str">
        <f>'SA Apr 2019'!L22</f>
        <v>Market offer</v>
      </c>
      <c r="C36" s="46">
        <f>IF('SA Apr 2019'!BP22=0,91*'SA Apr 2019'!M22/100,(91*'SA Apr 2019'!M22/100)+'SA Apr 2019'!BP22/4)</f>
        <v>81.444999999999993</v>
      </c>
      <c r="D36" s="46">
        <f>IF('SA Apr 2019'!O22="",$C$28*$C$29*'SA Apr 2019'!N22/100,IF($C$28*$C$29&gt;='SA Apr 2019'!P22,('SA Apr 2019'!P22*'SA Apr 2019'!N22/100),($C$28*$C$29*'SA Apr 2019'!N22/100)))</f>
        <v>1538.25</v>
      </c>
      <c r="E36" s="46">
        <f>IF(AND('SA Apr 2019'!P22&gt;0,'SA Apr 2019'!R22&gt;0),IF($C$28*$C$29&lt;'SA Apr 2019'!P22,0,IF($C$28*$C$29&lt;=('SA Apr 2019'!R22+'SA Apr 2019'!P22),(($C$28*$C$29-'SA Apr 2019'!P22)*'SA Apr 2019'!Q22/100),(('SA Apr 2019'!R22)*'SA Apr 2019'!Q22/100))),0)</f>
        <v>0</v>
      </c>
      <c r="F36" s="46">
        <f>IF(AND('SA Apr 2019'!R22&gt;0,'SA Apr 2019'!T22&gt;0),IF(($C$28*$C$29&lt;'SA Apr 2019'!T22),(0),($C$28*$C$29-'SA Apr 2019'!T22)*'SA Apr 2019'!U22/100),IF(AND('SA Apr 2019'!R22&gt;0,'SA Apr 2019'!T22=""),IF(($C$28*$C$29&lt;'SA Apr 2019'!R22+'SA Apr 2019'!P22),(0),(($C$28*$C$29-('SA Apr 2019'!R22+'SA Apr 2019'!P22))*'SA Apr 2019'!S22/100)),IF(AND('SA Apr 2019'!P22&gt;0,'SA Apr 2019'!R22=""&gt;0),IF(($C$28*$C$29&lt;'SA Apr 2019'!P22),(0),($C$28*$C$29-'SA Apr 2019'!P22)*'SA Apr 2019'!Q22/100),0)))</f>
        <v>0</v>
      </c>
      <c r="G36" s="50">
        <f>($C$28*$C$30)*'SA Apr 2019'!AF22/100</f>
        <v>355.5</v>
      </c>
      <c r="H36" s="51">
        <v>0</v>
      </c>
      <c r="I36" s="52">
        <f t="shared" si="13"/>
        <v>1975.1949999999999</v>
      </c>
      <c r="J36" s="111">
        <f t="shared" si="14"/>
        <v>7575</v>
      </c>
      <c r="K36" s="112">
        <f t="shared" si="15"/>
        <v>7900.78</v>
      </c>
      <c r="L36" s="53">
        <f t="shared" si="16"/>
        <v>8690.8580000000002</v>
      </c>
      <c r="M36" s="54">
        <f>'SA Apr 2019'!BB22</f>
        <v>0</v>
      </c>
      <c r="N36" s="54">
        <f>'SA Apr 2019'!BC22</f>
        <v>0</v>
      </c>
      <c r="O36" s="54">
        <f>'SA Apr 2019'!BD22</f>
        <v>0</v>
      </c>
      <c r="P36" s="54">
        <f>'SA Apr 2019'!BE22</f>
        <v>20</v>
      </c>
      <c r="Q36" s="54" t="str">
        <f t="shared" si="17"/>
        <v>Pay-on-time off usage</v>
      </c>
      <c r="R36" s="54" t="s">
        <v>543</v>
      </c>
      <c r="S36" s="111">
        <f t="shared" si="18"/>
        <v>7900.78</v>
      </c>
      <c r="T36" s="112">
        <f t="shared" si="19"/>
        <v>6385.78</v>
      </c>
      <c r="U36" s="53">
        <f t="shared" si="20"/>
        <v>8690.8580000000002</v>
      </c>
      <c r="V36" s="53">
        <f t="shared" si="20"/>
        <v>7024.3580000000002</v>
      </c>
      <c r="W36" s="55">
        <f>'SA Apr 2019'!BL29</f>
        <v>0</v>
      </c>
      <c r="X36" s="56" t="str">
        <f>'SA Apr 2019'!BM29</f>
        <v>n</v>
      </c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</row>
    <row r="37" spans="1:53" x14ac:dyDescent="0.15">
      <c r="A37" s="70" t="str">
        <f>'SA Apr 2019'!K23</f>
        <v>Diamond Energy</v>
      </c>
      <c r="B37" s="49" t="str">
        <f>'SA Apr 2019'!L23</f>
        <v>Pay on time discount</v>
      </c>
      <c r="C37" s="46">
        <f>IF('SA Apr 2019'!BP23=0,91*'SA Apr 2019'!M23/100,(91*'SA Apr 2019'!M23/100)+'SA Apr 2019'!BP23/4)</f>
        <v>90.545000000000002</v>
      </c>
      <c r="D37" s="46">
        <f>IF('SA Apr 2019'!O23="",$C$28*$C$29*'SA Apr 2019'!N23/100,IF($C$28*$C$29&gt;='SA Apr 2019'!P23,('SA Apr 2019'!P23*'SA Apr 2019'!N23/100),($C$28*$C$29*'SA Apr 2019'!N23/100)))</f>
        <v>389</v>
      </c>
      <c r="E37" s="46">
        <f>IF(AND('SA Apr 2019'!P23&gt;0,'SA Apr 2019'!R23&gt;0),IF($C$28*$C$29&lt;'SA Apr 2019'!P23,0,IF($C$28*$C$29&lt;=('SA Apr 2019'!R23+'SA Apr 2019'!P23),(($C$28*$C$29-'SA Apr 2019'!P23)*'SA Apr 2019'!Q23/100),(('SA Apr 2019'!R23)*'SA Apr 2019'!Q23/100))),0)</f>
        <v>599.25000000000011</v>
      </c>
      <c r="F37" s="46">
        <f>IF(AND('SA Apr 2019'!R23&gt;0,'SA Apr 2019'!T23&gt;0),IF(($C$28*$C$29&lt;'SA Apr 2019'!T23),(0),($C$28*$C$29-'SA Apr 2019'!T23)*'SA Apr 2019'!U23/100),IF(AND('SA Apr 2019'!R23&gt;0,'SA Apr 2019'!T23=""),IF(($C$28*$C$29&lt;'SA Apr 2019'!R23+'SA Apr 2019'!P23),(0),(($C$28*$C$29-('SA Apr 2019'!R23+'SA Apr 2019'!P23))*'SA Apr 2019'!S23/100)),IF(AND('SA Apr 2019'!P23&gt;0,'SA Apr 2019'!R23=""&gt;0),IF(($C$28*$C$29&lt;'SA Apr 2019'!P23),(0),($C$28*$C$29-'SA Apr 2019'!P23)*'SA Apr 2019'!Q23/100),0)))</f>
        <v>409.8</v>
      </c>
      <c r="G37" s="50">
        <f>($C$28*$C$30)*'SA Apr 2019'!AF23/100</f>
        <v>299.25</v>
      </c>
      <c r="H37" s="51">
        <v>0</v>
      </c>
      <c r="I37" s="52">
        <f t="shared" si="13"/>
        <v>1787.845</v>
      </c>
      <c r="J37" s="111">
        <f t="shared" si="14"/>
        <v>6789.2</v>
      </c>
      <c r="K37" s="112">
        <f t="shared" si="15"/>
        <v>7151.38</v>
      </c>
      <c r="L37" s="53">
        <f t="shared" si="16"/>
        <v>7866.5180000000009</v>
      </c>
      <c r="M37" s="54">
        <f>'SA Apr 2019'!BB23</f>
        <v>0</v>
      </c>
      <c r="N37" s="54">
        <f>'SA Apr 2019'!BC23</f>
        <v>0</v>
      </c>
      <c r="O37" s="54">
        <f>'SA Apr 2019'!BD23</f>
        <v>7</v>
      </c>
      <c r="P37" s="54">
        <f>'SA Apr 2019'!BE23</f>
        <v>0</v>
      </c>
      <c r="Q37" s="54" t="str">
        <f t="shared" si="17"/>
        <v>Pay-on-time off bill</v>
      </c>
      <c r="R37" s="54" t="s">
        <v>543</v>
      </c>
      <c r="S37" s="111">
        <f t="shared" si="18"/>
        <v>7151.38</v>
      </c>
      <c r="T37" s="112">
        <f t="shared" si="19"/>
        <v>6650.7834000000003</v>
      </c>
      <c r="U37" s="53">
        <f t="shared" si="20"/>
        <v>7866.5180000000009</v>
      </c>
      <c r="V37" s="53">
        <f t="shared" si="20"/>
        <v>7315.8617400000012</v>
      </c>
      <c r="W37" s="55">
        <f>'SA Apr 2019'!BL30</f>
        <v>36</v>
      </c>
      <c r="X37" s="56" t="str">
        <f>'SA Apr 2019'!BM35</f>
        <v>n</v>
      </c>
    </row>
    <row r="38" spans="1:53" x14ac:dyDescent="0.15">
      <c r="A38" s="70" t="str">
        <f>'SA Apr 2019'!K24</f>
        <v>EnergyAustralia</v>
      </c>
      <c r="B38" s="49" t="str">
        <f>'SA Apr 2019'!L24</f>
        <v>Everyday Saver Business</v>
      </c>
      <c r="C38" s="46">
        <f>IF('SA Apr 2019'!BP24=0,91*'SA Apr 2019'!M24/100,(91*'SA Apr 2019'!M24/100)+'SA Apr 2019'!BP24/4)</f>
        <v>81.536000000000001</v>
      </c>
      <c r="D38" s="46">
        <f>IF('SA Apr 2019'!O24="",$C$28*$C$29*'SA Apr 2019'!N24/100,IF($C$28*$C$29&gt;='SA Apr 2019'!P24,('SA Apr 2019'!P24*'SA Apr 2019'!N24/100),($C$28*$C$29*'SA Apr 2019'!N24/100)))</f>
        <v>1617</v>
      </c>
      <c r="E38" s="46">
        <f>IF(AND('SA Apr 2019'!P24&gt;0,'SA Apr 2019'!R24&gt;0),IF($C$28*$C$29&lt;'SA Apr 2019'!P24,0,IF($C$28*$C$29&lt;=('SA Apr 2019'!R24+'SA Apr 2019'!P24),(($C$28*$C$29-'SA Apr 2019'!P24)*'SA Apr 2019'!Q24/100),(('SA Apr 2019'!R24)*'SA Apr 2019'!Q24/100))),0)</f>
        <v>0</v>
      </c>
      <c r="F38" s="46">
        <f>IF(AND('SA Apr 2019'!R24&gt;0,'SA Apr 2019'!T24&gt;0),IF(($C$28*$C$29&lt;'SA Apr 2019'!T24),(0),($C$28*$C$29-'SA Apr 2019'!T24)*'SA Apr 2019'!U24/100),IF(AND('SA Apr 2019'!R24&gt;0,'SA Apr 2019'!T24=""),IF(($C$28*$C$29&lt;'SA Apr 2019'!R24+'SA Apr 2019'!P24),(0),(($C$28*$C$29-('SA Apr 2019'!R24+'SA Apr 2019'!P24))*'SA Apr 2019'!S24/100)),IF(AND('SA Apr 2019'!P24&gt;0,'SA Apr 2019'!R24=""&gt;0),IF(($C$28*$C$29&lt;'SA Apr 2019'!P24),(0),($C$28*$C$29-'SA Apr 2019'!P24)*'SA Apr 2019'!Q24/100),0)))</f>
        <v>0</v>
      </c>
      <c r="G38" s="50">
        <f>($C$28*$C$30)*'SA Apr 2019'!AF24/100</f>
        <v>253.65</v>
      </c>
      <c r="H38" s="51">
        <v>0</v>
      </c>
      <c r="I38" s="52">
        <f t="shared" si="13"/>
        <v>1952.1860000000001</v>
      </c>
      <c r="J38" s="111">
        <f t="shared" si="14"/>
        <v>7482.6</v>
      </c>
      <c r="K38" s="112">
        <f t="shared" si="15"/>
        <v>7808.7440000000006</v>
      </c>
      <c r="L38" s="53">
        <f t="shared" si="16"/>
        <v>8589.6184000000012</v>
      </c>
      <c r="M38" s="54">
        <f>'SA Apr 2019'!BB24</f>
        <v>0</v>
      </c>
      <c r="N38" s="54">
        <f>'SA Apr 2019'!BC24</f>
        <v>18</v>
      </c>
      <c r="O38" s="54">
        <f>'SA Apr 2019'!BD24</f>
        <v>0</v>
      </c>
      <c r="P38" s="54">
        <f>'SA Apr 2019'!BE24</f>
        <v>0</v>
      </c>
      <c r="Q38" s="54" t="str">
        <f t="shared" si="17"/>
        <v>Guaranteed off usage</v>
      </c>
      <c r="R38" s="54" t="s">
        <v>543</v>
      </c>
      <c r="S38" s="111">
        <f t="shared" si="18"/>
        <v>6461.8760000000002</v>
      </c>
      <c r="T38" s="112">
        <f t="shared" si="19"/>
        <v>6461.8760000000002</v>
      </c>
      <c r="U38" s="53">
        <f t="shared" si="20"/>
        <v>7108.0636000000004</v>
      </c>
      <c r="V38" s="53">
        <f t="shared" si="20"/>
        <v>7108.0636000000004</v>
      </c>
      <c r="W38" s="55">
        <f>'SA Apr 2019'!BL31</f>
        <v>0</v>
      </c>
      <c r="X38" s="56" t="str">
        <f>'SA Apr 2019'!BM36</f>
        <v>n</v>
      </c>
    </row>
    <row r="39" spans="1:53" x14ac:dyDescent="0.15">
      <c r="A39" s="70" t="str">
        <f>'SA Apr 2019'!K25</f>
        <v>Momentum Energy</v>
      </c>
      <c r="B39" s="49" t="str">
        <f>'SA Apr 2019'!L25</f>
        <v>SmilePower Flexi</v>
      </c>
      <c r="C39" s="46">
        <f>IF('SA Apr 2019'!BP25=0,91*'SA Apr 2019'!M25/100,(91*'SA Apr 2019'!M25/100)+'SA Apr 2019'!BP25/4)</f>
        <v>87.259900000000002</v>
      </c>
      <c r="D39" s="46">
        <f>IF('SA Apr 2019'!O25="",$C$28*$C$29*'SA Apr 2019'!N25/100,IF($C$28*$C$29&gt;='SA Apr 2019'!P25,('SA Apr 2019'!P25*'SA Apr 2019'!N25/100),($C$28*$C$29*'SA Apr 2019'!N25/100)))</f>
        <v>373.56</v>
      </c>
      <c r="E39" s="46">
        <f>IF(AND('SA Apr 2019'!P25&gt;0,'SA Apr 2019'!R25&gt;0),IF($C$28*$C$29&lt;'SA Apr 2019'!P25,0,IF($C$28*$C$29&lt;=('SA Apr 2019'!R25+'SA Apr 2019'!P25),(($C$28*$C$29-'SA Apr 2019'!P25)*'SA Apr 2019'!Q25/100),(('SA Apr 2019'!R25)*'SA Apr 2019'!Q25/100))),0)</f>
        <v>0</v>
      </c>
      <c r="F39" s="46">
        <f>IF(AND('SA Apr 2019'!R25&gt;0,'SA Apr 2019'!T25&gt;0),IF(($C$28*$C$29&lt;'SA Apr 2019'!T25),(0),($C$28*$C$29-'SA Apr 2019'!T25)*'SA Apr 2019'!U25/100),IF(AND('SA Apr 2019'!R25&gt;0,'SA Apr 2019'!T25=""),IF(($C$28*$C$29&lt;'SA Apr 2019'!R25+'SA Apr 2019'!P25),(0),(($C$28*$C$29-('SA Apr 2019'!R25+'SA Apr 2019'!P25))*'SA Apr 2019'!S25/100)),IF(AND('SA Apr 2019'!P25&gt;0,'SA Apr 2019'!R25=""&gt;0),IF(($C$28*$C$29&lt;'SA Apr 2019'!P25),(0),($C$28*$C$29-'SA Apr 2019'!P25)*'SA Apr 2019'!Q25/100),0)))</f>
        <v>715.99</v>
      </c>
      <c r="G39" s="50">
        <f>($C$28*$C$30)*'SA Apr 2019'!AF25/100</f>
        <v>274.5</v>
      </c>
      <c r="H39" s="51">
        <v>0</v>
      </c>
      <c r="I39" s="52">
        <f t="shared" si="13"/>
        <v>1451.3099</v>
      </c>
      <c r="J39" s="111">
        <f t="shared" si="14"/>
        <v>5456.2</v>
      </c>
      <c r="K39" s="112">
        <f t="shared" si="15"/>
        <v>5805.2395999999999</v>
      </c>
      <c r="L39" s="53">
        <f t="shared" si="16"/>
        <v>6385.7635600000003</v>
      </c>
      <c r="M39" s="54">
        <f>'SA Apr 2019'!BB25</f>
        <v>0</v>
      </c>
      <c r="N39" s="54">
        <f>'SA Apr 2019'!BC25</f>
        <v>0</v>
      </c>
      <c r="O39" s="54">
        <f>'SA Apr 2019'!BD25</f>
        <v>0</v>
      </c>
      <c r="P39" s="54">
        <f>'SA Apr 2019'!BE25</f>
        <v>0</v>
      </c>
      <c r="Q39" s="54" t="str">
        <f t="shared" si="17"/>
        <v>No discount</v>
      </c>
      <c r="R39" s="54" t="s">
        <v>543</v>
      </c>
      <c r="S39" s="111">
        <f t="shared" si="18"/>
        <v>5805.2395999999999</v>
      </c>
      <c r="T39" s="112">
        <f t="shared" si="19"/>
        <v>5805.2395999999999</v>
      </c>
      <c r="U39" s="53">
        <f t="shared" si="20"/>
        <v>6385.7635600000003</v>
      </c>
      <c r="V39" s="53">
        <f t="shared" si="20"/>
        <v>6385.7635600000003</v>
      </c>
      <c r="W39" s="55">
        <f>'SA Apr 2019'!BL32</f>
        <v>0</v>
      </c>
      <c r="X39" s="56" t="s">
        <v>174</v>
      </c>
    </row>
    <row r="40" spans="1:53" x14ac:dyDescent="0.15">
      <c r="A40" s="70" t="str">
        <f>'SA Apr 2019'!K26</f>
        <v>Origin Energy</v>
      </c>
      <c r="B40" s="49" t="str">
        <f>'SA Apr 2019'!L26</f>
        <v>Business Saver</v>
      </c>
      <c r="C40" s="46">
        <f>IF('SA Apr 2019'!BP26=0,91*'SA Apr 2019'!M26/100,(91*'SA Apr 2019'!M26/100)+'SA Apr 2019'!BP26/4)</f>
        <v>81.608800000000016</v>
      </c>
      <c r="D40" s="46">
        <f>IF('SA Apr 2019'!O26="",$C$28*$C$29*'SA Apr 2019'!N26/100,IF($C$28*$C$29&gt;='SA Apr 2019'!P26,('SA Apr 2019'!P26*'SA Apr 2019'!N26/100),($C$28*$C$29*'SA Apr 2019'!N26/100)))</f>
        <v>1391.95</v>
      </c>
      <c r="E40" s="46">
        <f>IF(AND('SA Apr 2019'!P26&gt;0,'SA Apr 2019'!R26&gt;0),IF($C$28*$C$29&lt;'SA Apr 2019'!P26,0,IF($C$28*$C$29&lt;=('SA Apr 2019'!R26+'SA Apr 2019'!P26),(($C$28*$C$29-'SA Apr 2019'!P26)*'SA Apr 2019'!Q26/100),(('SA Apr 2019'!R26)*'SA Apr 2019'!Q26/100))),0)</f>
        <v>0</v>
      </c>
      <c r="F40" s="46">
        <f>IF(AND('SA Apr 2019'!R26&gt;0,'SA Apr 2019'!T26&gt;0),IF(($C$28*$C$29&lt;'SA Apr 2019'!T26),(0),($C$28*$C$29-'SA Apr 2019'!T26)*'SA Apr 2019'!U26/100),IF(AND('SA Apr 2019'!R26&gt;0,'SA Apr 2019'!T26=""),IF(($C$28*$C$29&lt;'SA Apr 2019'!R26+'SA Apr 2019'!P26),(0),(($C$28*$C$29-('SA Apr 2019'!R26+'SA Apr 2019'!P26))*'SA Apr 2019'!S26/100)),IF(AND('SA Apr 2019'!P26&gt;0,'SA Apr 2019'!R26=""&gt;0),IF(($C$28*$C$29&lt;'SA Apr 2019'!P26),(0),($C$28*$C$29-'SA Apr 2019'!P26)*'SA Apr 2019'!Q26/100),0)))</f>
        <v>0</v>
      </c>
      <c r="G40" s="50">
        <f>($C$28*$C$30)*'SA Apr 2019'!AF26/100</f>
        <v>285.89999999999998</v>
      </c>
      <c r="H40" s="51">
        <v>0</v>
      </c>
      <c r="I40" s="52">
        <f t="shared" si="13"/>
        <v>1759.4587999999999</v>
      </c>
      <c r="J40" s="111">
        <f t="shared" si="14"/>
        <v>6711.4</v>
      </c>
      <c r="K40" s="112">
        <f t="shared" si="15"/>
        <v>7037.8351999999995</v>
      </c>
      <c r="L40" s="53">
        <f t="shared" si="16"/>
        <v>7741.6187200000004</v>
      </c>
      <c r="M40" s="54">
        <f>'SA Apr 2019'!BB26</f>
        <v>0</v>
      </c>
      <c r="N40" s="54">
        <f>'SA Apr 2019'!BC26</f>
        <v>16</v>
      </c>
      <c r="O40" s="54">
        <f>'SA Apr 2019'!BD26</f>
        <v>0</v>
      </c>
      <c r="P40" s="54">
        <f>'SA Apr 2019'!BE26</f>
        <v>0</v>
      </c>
      <c r="Q40" s="54" t="str">
        <f t="shared" si="17"/>
        <v>Guaranteed off usage</v>
      </c>
      <c r="R40" s="54" t="s">
        <v>543</v>
      </c>
      <c r="S40" s="111">
        <f t="shared" si="18"/>
        <v>5964.0111999999999</v>
      </c>
      <c r="T40" s="112">
        <f t="shared" si="19"/>
        <v>5964.0111999999999</v>
      </c>
      <c r="U40" s="53">
        <f t="shared" si="20"/>
        <v>6560.4123200000004</v>
      </c>
      <c r="V40" s="53">
        <f t="shared" si="20"/>
        <v>6560.4123200000004</v>
      </c>
      <c r="W40" s="55">
        <f>'SA Apr 2019'!BL33</f>
        <v>0</v>
      </c>
      <c r="X40" s="56" t="s">
        <v>175</v>
      </c>
    </row>
    <row r="41" spans="1:53" x14ac:dyDescent="0.15">
      <c r="A41" s="70" t="str">
        <f>'SA Apr 2019'!K27</f>
        <v>Powerdirect</v>
      </c>
      <c r="B41" s="49" t="str">
        <f>'SA Apr 2019'!L27</f>
        <v>Market offer</v>
      </c>
      <c r="C41" s="46">
        <f>IF('SA Apr 2019'!BP27=0,91*'SA Apr 2019'!M27/100,(91*'SA Apr 2019'!M27/100)+'SA Apr 2019'!BP27/4)</f>
        <v>82.81</v>
      </c>
      <c r="D41" s="46">
        <f>IF('SA Apr 2019'!O27="",$C$28*$C$29*'SA Apr 2019'!N27/100,IF($C$28*$C$29&gt;='SA Apr 2019'!P27,('SA Apr 2019'!P27*'SA Apr 2019'!N27/100),($C$28*$C$29*'SA Apr 2019'!N27/100)))</f>
        <v>1501.5</v>
      </c>
      <c r="E41" s="46">
        <f>IF(AND('SA Apr 2019'!P27&gt;0,'SA Apr 2019'!R27&gt;0),IF($C$28*$C$29&lt;'SA Apr 2019'!P27,0,IF($C$28*$C$29&lt;=('SA Apr 2019'!R27+'SA Apr 2019'!P27),(($C$28*$C$29-'SA Apr 2019'!P27)*'SA Apr 2019'!Q27/100),(('SA Apr 2019'!R27)*'SA Apr 2019'!Q27/100))),0)</f>
        <v>0</v>
      </c>
      <c r="F41" s="46">
        <f>IF(AND('SA Apr 2019'!R27&gt;0,'SA Apr 2019'!T27&gt;0),IF(($C$28*$C$29&lt;'SA Apr 2019'!T27),(0),($C$28*$C$29-'SA Apr 2019'!T27)*'SA Apr 2019'!U27/100),IF(AND('SA Apr 2019'!R27&gt;0,'SA Apr 2019'!T27=""),IF(($C$28*$C$29&lt;'SA Apr 2019'!R27+'SA Apr 2019'!P27),(0),(($C$28*$C$29-('SA Apr 2019'!R27+'SA Apr 2019'!P27))*'SA Apr 2019'!S27/100)),IF(AND('SA Apr 2019'!P27&gt;0,'SA Apr 2019'!R27=""&gt;0),IF(($C$28*$C$29&lt;'SA Apr 2019'!P27),(0),($C$28*$C$29-'SA Apr 2019'!P27)*'SA Apr 2019'!Q27/100),0)))</f>
        <v>0</v>
      </c>
      <c r="G41" s="50">
        <f>($C$28*$C$30)*'SA Apr 2019'!AF27/100</f>
        <v>328.5</v>
      </c>
      <c r="H41" s="51">
        <v>0</v>
      </c>
      <c r="I41" s="52">
        <f t="shared" si="13"/>
        <v>1912.81</v>
      </c>
      <c r="J41" s="111">
        <f t="shared" si="14"/>
        <v>7320</v>
      </c>
      <c r="K41" s="112">
        <f t="shared" si="15"/>
        <v>7651.24</v>
      </c>
      <c r="L41" s="53">
        <f t="shared" si="16"/>
        <v>8416.3639999999996</v>
      </c>
      <c r="M41" s="54">
        <f>'SA Apr 2019'!BB27</f>
        <v>0</v>
      </c>
      <c r="N41" s="54">
        <f>'SA Apr 2019'!BC27</f>
        <v>16</v>
      </c>
      <c r="O41" s="54">
        <f>'SA Apr 2019'!BD27</f>
        <v>0</v>
      </c>
      <c r="P41" s="54">
        <f>'SA Apr 2019'!BE27</f>
        <v>0</v>
      </c>
      <c r="Q41" s="54" t="str">
        <f t="shared" si="17"/>
        <v>Guaranteed off usage</v>
      </c>
      <c r="R41" s="54" t="s">
        <v>543</v>
      </c>
      <c r="S41" s="111">
        <f t="shared" si="18"/>
        <v>6480.04</v>
      </c>
      <c r="T41" s="112">
        <f t="shared" si="19"/>
        <v>6480.04</v>
      </c>
      <c r="U41" s="53">
        <f t="shared" si="20"/>
        <v>7128.0440000000008</v>
      </c>
      <c r="V41" s="53">
        <f t="shared" si="20"/>
        <v>7128.0440000000008</v>
      </c>
      <c r="W41" s="55">
        <f>'SA Apr 2019'!BL34</f>
        <v>0</v>
      </c>
      <c r="X41" s="56" t="s">
        <v>174</v>
      </c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</row>
    <row r="42" spans="1:53" x14ac:dyDescent="0.15">
      <c r="A42" s="70" t="str">
        <f>'SA Apr 2019'!K28</f>
        <v>Red Energy</v>
      </c>
      <c r="B42" s="49" t="str">
        <f>'SA Apr 2019'!L28</f>
        <v>No exit fee saver</v>
      </c>
      <c r="C42" s="46">
        <f>IF('SA Apr 2019'!BP28=0,91*'SA Apr 2019'!M28/100,(91*'SA Apr 2019'!M28/100)+'SA Apr 2019'!BP28/4)</f>
        <v>91.454999999999998</v>
      </c>
      <c r="D42" s="46">
        <f>IF('SA Apr 2019'!O28="",$C$28*$C$29*'SA Apr 2019'!N28/100,IF($C$28*$C$29&gt;='SA Apr 2019'!P28,('SA Apr 2019'!P28*'SA Apr 2019'!N28/100),($C$28*$C$29*'SA Apr 2019'!N28/100)))</f>
        <v>997.5</v>
      </c>
      <c r="E42" s="46">
        <f>IF(AND('SA Apr 2019'!P28&gt;0,'SA Apr 2019'!R28&gt;0),IF($C$28*$C$29&lt;'SA Apr 2019'!P28,0,IF($C$28*$C$29&lt;=('SA Apr 2019'!R28+'SA Apr 2019'!P28),(($C$28*$C$29-'SA Apr 2019'!P28)*'SA Apr 2019'!Q28/100),(('SA Apr 2019'!R28)*'SA Apr 2019'!Q28/100))),0)</f>
        <v>0</v>
      </c>
      <c r="F42" s="46">
        <f>IF(AND('SA Apr 2019'!R28&gt;0,'SA Apr 2019'!T28&gt;0),IF(($C$28*$C$29&lt;'SA Apr 2019'!T28),(0),($C$28*$C$29-'SA Apr 2019'!T28)*'SA Apr 2019'!U28/100),IF(AND('SA Apr 2019'!R28&gt;0,'SA Apr 2019'!T28=""),IF(($C$28*$C$29&lt;'SA Apr 2019'!R28+'SA Apr 2019'!P28),(0),(($C$28*$C$29-('SA Apr 2019'!R28+'SA Apr 2019'!P28))*'SA Apr 2019'!S28/100)),IF(AND('SA Apr 2019'!P28&gt;0,'SA Apr 2019'!R28=""&gt;0),IF(($C$28*$C$29&lt;'SA Apr 2019'!P28),(0),($C$28*$C$29-'SA Apr 2019'!P28)*'SA Apr 2019'!Q28/100),0)))</f>
        <v>420</v>
      </c>
      <c r="G42" s="50">
        <f>($C$28*$C$30)*'SA Apr 2019'!AF28/100</f>
        <v>290.25000000000006</v>
      </c>
      <c r="H42" s="51">
        <v>0</v>
      </c>
      <c r="I42" s="52">
        <f t="shared" si="13"/>
        <v>1799.2049999999999</v>
      </c>
      <c r="J42" s="111">
        <f t="shared" si="14"/>
        <v>6831</v>
      </c>
      <c r="K42" s="112">
        <f t="shared" si="15"/>
        <v>7196.82</v>
      </c>
      <c r="L42" s="53">
        <f t="shared" si="16"/>
        <v>7916.5020000000004</v>
      </c>
      <c r="M42" s="54">
        <f>'SA Apr 2019'!BB28</f>
        <v>0</v>
      </c>
      <c r="N42" s="54">
        <f>'SA Apr 2019'!BC28</f>
        <v>0</v>
      </c>
      <c r="O42" s="54">
        <f>'SA Apr 2019'!BD28</f>
        <v>10</v>
      </c>
      <c r="P42" s="54">
        <f>'SA Apr 2019'!BE28</f>
        <v>0</v>
      </c>
      <c r="Q42" s="54" t="str">
        <f t="shared" si="17"/>
        <v>Pay-on-time off bill</v>
      </c>
      <c r="R42" s="54" t="s">
        <v>543</v>
      </c>
      <c r="S42" s="111">
        <f t="shared" si="18"/>
        <v>7196.82</v>
      </c>
      <c r="T42" s="112">
        <f t="shared" si="19"/>
        <v>6477.1379999999999</v>
      </c>
      <c r="U42" s="53">
        <f t="shared" si="20"/>
        <v>7916.5020000000004</v>
      </c>
      <c r="V42" s="53">
        <f t="shared" si="20"/>
        <v>7124.8518000000004</v>
      </c>
      <c r="W42" s="55">
        <f>'SA Apr 2019'!BL35</f>
        <v>0</v>
      </c>
      <c r="X42" s="56" t="s">
        <v>174</v>
      </c>
    </row>
    <row r="43" spans="1:53" x14ac:dyDescent="0.15">
      <c r="A43" s="70" t="str">
        <f>'SA Apr 2019'!K29</f>
        <v>Simply Energy</v>
      </c>
      <c r="B43" s="49" t="str">
        <f>'SA Apr 2019'!L29</f>
        <v>Business Plus</v>
      </c>
      <c r="C43" s="46">
        <f>IF('SA Apr 2019'!BP29=0,91*'SA Apr 2019'!M29/100,(91*'SA Apr 2019'!M29/100)+'SA Apr 2019'!BP29/4)</f>
        <v>78.605800000000002</v>
      </c>
      <c r="D43" s="46">
        <f>IF('SA Apr 2019'!O29="",$C$28*$C$29*'SA Apr 2019'!N29/100,IF($C$28*$C$29&gt;='SA Apr 2019'!P29,('SA Apr 2019'!P29*'SA Apr 2019'!N29/100),($C$28*$C$29*'SA Apr 2019'!N29/100)))</f>
        <v>1411.9</v>
      </c>
      <c r="E43" s="46">
        <f>IF(AND('SA Apr 2019'!P29&gt;0,'SA Apr 2019'!R29&gt;0),IF($C$28*$C$29&lt;'SA Apr 2019'!P29,0,IF($C$28*$C$29&lt;=('SA Apr 2019'!R29+'SA Apr 2019'!P29),(($C$28*$C$29-'SA Apr 2019'!P29)*'SA Apr 2019'!Q29/100),(('SA Apr 2019'!R29)*'SA Apr 2019'!Q29/100))),0)</f>
        <v>0</v>
      </c>
      <c r="F43" s="46">
        <f>IF(AND('SA Apr 2019'!R29&gt;0,'SA Apr 2019'!T29&gt;0),IF(($C$28*$C$29&lt;'SA Apr 2019'!T29),(0),($C$28*$C$29-'SA Apr 2019'!T29)*'SA Apr 2019'!U29/100),IF(AND('SA Apr 2019'!R29&gt;0,'SA Apr 2019'!T29=""),IF(($C$28*$C$29&lt;'SA Apr 2019'!R29+'SA Apr 2019'!P29),(0),(($C$28*$C$29-('SA Apr 2019'!R29+'SA Apr 2019'!P29))*'SA Apr 2019'!S29/100)),IF(AND('SA Apr 2019'!P29&gt;0,'SA Apr 2019'!R29=""&gt;0),IF(($C$28*$C$29&lt;'SA Apr 2019'!P29),(0),($C$28*$C$29-'SA Apr 2019'!P29)*'SA Apr 2019'!Q29/100),0)))</f>
        <v>0</v>
      </c>
      <c r="G43" s="50">
        <f>($C$28*$C$30)*'SA Apr 2019'!AF29/100</f>
        <v>412.35</v>
      </c>
      <c r="H43" s="51">
        <v>0</v>
      </c>
      <c r="I43" s="52">
        <f t="shared" si="13"/>
        <v>1902.8558000000003</v>
      </c>
      <c r="J43" s="111">
        <f t="shared" si="14"/>
        <v>7297.0000000000009</v>
      </c>
      <c r="K43" s="112">
        <f t="shared" si="15"/>
        <v>7611.4232000000011</v>
      </c>
      <c r="L43" s="53">
        <f t="shared" si="16"/>
        <v>8372.5655200000019</v>
      </c>
      <c r="M43" s="54">
        <f>'SA Apr 2019'!BB29</f>
        <v>0</v>
      </c>
      <c r="N43" s="54">
        <f>'SA Apr 2019'!BC29</f>
        <v>20</v>
      </c>
      <c r="O43" s="54">
        <f>'SA Apr 2019'!BD29</f>
        <v>0</v>
      </c>
      <c r="P43" s="54">
        <f>'SA Apr 2019'!BE29</f>
        <v>0</v>
      </c>
      <c r="Q43" s="54" t="str">
        <f t="shared" si="17"/>
        <v>Guaranteed off usage</v>
      </c>
      <c r="R43" s="54" t="s">
        <v>543</v>
      </c>
      <c r="S43" s="111">
        <f t="shared" si="18"/>
        <v>6152.0232000000005</v>
      </c>
      <c r="T43" s="112">
        <f t="shared" si="19"/>
        <v>6152.0232000000005</v>
      </c>
      <c r="U43" s="53">
        <f t="shared" si="20"/>
        <v>6767.2255200000009</v>
      </c>
      <c r="V43" s="53">
        <f t="shared" si="20"/>
        <v>6767.2255200000009</v>
      </c>
      <c r="W43" s="55">
        <f>'SA Apr 2019'!BL36</f>
        <v>0</v>
      </c>
      <c r="X43" s="56" t="s">
        <v>175</v>
      </c>
    </row>
    <row r="44" spans="1:53" x14ac:dyDescent="0.15">
      <c r="A44" s="70" t="str">
        <f>'SA Apr 2019'!K30</f>
        <v>Blue NRG</v>
      </c>
      <c r="B44" s="49" t="str">
        <f>'SA Apr 2019'!L30</f>
        <v>Market offer</v>
      </c>
      <c r="C44" s="46">
        <f>IF('SA Apr 2019'!BP30=0,91*'SA Apr 2019'!M30/100,(91*'SA Apr 2019'!M30/100)+'SA Apr 2019'!BP30/4)</f>
        <v>109.30754545454545</v>
      </c>
      <c r="D44" s="46">
        <f>IF('SA Apr 2019'!O30="",$C$28*$C$29*'SA Apr 2019'!N30/100,IF($C$28*$C$29&gt;='SA Apr 2019'!P30,('SA Apr 2019'!P30*'SA Apr 2019'!N30/100),($C$28*$C$29*'SA Apr 2019'!N30/100)))</f>
        <v>1287.681818181818</v>
      </c>
      <c r="E44" s="46">
        <f>IF(AND('SA Apr 2019'!P30&gt;0,'SA Apr 2019'!R30&gt;0),IF($C$28*$C$29&lt;'SA Apr 2019'!P30,0,IF($C$28*$C$29&lt;=('SA Apr 2019'!R30+'SA Apr 2019'!P30),(($C$28*$C$29-'SA Apr 2019'!P30)*'SA Apr 2019'!Q30/100),(('SA Apr 2019'!R30)*'SA Apr 2019'!Q30/100))),0)</f>
        <v>0</v>
      </c>
      <c r="F44" s="46">
        <f>IF(AND('SA Apr 2019'!R30&gt;0,'SA Apr 2019'!T30&gt;0),IF(($C$28*$C$29&lt;'SA Apr 2019'!T30),(0),($C$28*$C$29-'SA Apr 2019'!T30)*'SA Apr 2019'!U30/100),IF(AND('SA Apr 2019'!R30&gt;0,'SA Apr 2019'!T30=""),IF(($C$28*$C$29&lt;'SA Apr 2019'!R30+'SA Apr 2019'!P30),(0),(($C$28*$C$29-('SA Apr 2019'!R30+'SA Apr 2019'!P30))*'SA Apr 2019'!S30/100)),IF(AND('SA Apr 2019'!P30&gt;0,'SA Apr 2019'!R30=""&gt;0),IF(($C$28*$C$29&lt;'SA Apr 2019'!P30),(0),($C$28*$C$29-'SA Apr 2019'!P30)*'SA Apr 2019'!Q30/100),0)))</f>
        <v>0</v>
      </c>
      <c r="G44" s="50">
        <f>($C$28*$C$30)*'SA Apr 2019'!AF30/100</f>
        <v>408.75</v>
      </c>
      <c r="H44" s="51">
        <v>0</v>
      </c>
      <c r="I44" s="52">
        <f t="shared" si="13"/>
        <v>1805.7393636363636</v>
      </c>
      <c r="J44" s="111">
        <f t="shared" si="14"/>
        <v>6785.7272727272721</v>
      </c>
      <c r="K44" s="112">
        <f t="shared" si="15"/>
        <v>7222.9574545454543</v>
      </c>
      <c r="L44" s="53">
        <f t="shared" si="16"/>
        <v>7945.2532000000001</v>
      </c>
      <c r="M44" s="54">
        <f>'SA Apr 2019'!BB30</f>
        <v>0</v>
      </c>
      <c r="N44" s="54">
        <f>'SA Apr 2019'!BC30</f>
        <v>0</v>
      </c>
      <c r="O44" s="54">
        <f>'SA Apr 2019'!BD30</f>
        <v>0</v>
      </c>
      <c r="P44" s="54">
        <f>'SA Apr 2019'!BE30</f>
        <v>0</v>
      </c>
      <c r="Q44" s="54" t="str">
        <f t="shared" si="17"/>
        <v>No discount</v>
      </c>
      <c r="R44" s="54" t="s">
        <v>543</v>
      </c>
      <c r="S44" s="111">
        <f t="shared" si="18"/>
        <v>7222.9574545454543</v>
      </c>
      <c r="T44" s="112">
        <f t="shared" si="19"/>
        <v>7222.9574545454543</v>
      </c>
      <c r="U44" s="53">
        <f t="shared" si="20"/>
        <v>7945.2532000000001</v>
      </c>
      <c r="V44" s="53">
        <f t="shared" si="20"/>
        <v>7945.2532000000001</v>
      </c>
      <c r="W44" s="55">
        <f>'SA Apr 2019'!BL37</f>
        <v>0</v>
      </c>
      <c r="X44" s="56" t="s">
        <v>175</v>
      </c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</row>
    <row r="45" spans="1:53" x14ac:dyDescent="0.15">
      <c r="A45" s="70" t="str">
        <f>'SA Apr 2019'!K31</f>
        <v>Powershop</v>
      </c>
      <c r="B45" s="49" t="str">
        <f>'SA Apr 2019'!L31</f>
        <v>Autopay with Power Saver</v>
      </c>
      <c r="C45" s="46">
        <f>IF('SA Apr 2019'!BP31=0,91*'SA Apr 2019'!M31/100,(91*'SA Apr 2019'!M31/100)+'SA Apr 2019'!BP31/4)</f>
        <v>100.71880000000002</v>
      </c>
      <c r="D45" s="46">
        <f>IF('SA Apr 2019'!O31="",$C$28*$C$29*'SA Apr 2019'!N31/100,IF($C$28*$C$29&gt;='SA Apr 2019'!P31,('SA Apr 2019'!P31*'SA Apr 2019'!N31/100),($C$28*$C$29*'SA Apr 2019'!N31/100)))</f>
        <v>1298.1500000000001</v>
      </c>
      <c r="E45" s="46">
        <f>IF(AND('SA Apr 2019'!P31&gt;0,'SA Apr 2019'!R31&gt;0),IF($C$28*$C$29&lt;'SA Apr 2019'!P31,0,IF($C$28*$C$29&lt;=('SA Apr 2019'!R31+'SA Apr 2019'!P31),(($C$28*$C$29-'SA Apr 2019'!P31)*'SA Apr 2019'!Q31/100),(('SA Apr 2019'!R31)*'SA Apr 2019'!Q31/100))),0)</f>
        <v>0</v>
      </c>
      <c r="F45" s="46">
        <f>IF(AND('SA Apr 2019'!R31&gt;0,'SA Apr 2019'!T31&gt;0),IF(($C$28*$C$29&lt;'SA Apr 2019'!T31),(0),($C$28*$C$29-'SA Apr 2019'!T31)*'SA Apr 2019'!U31/100),IF(AND('SA Apr 2019'!R31&gt;0,'SA Apr 2019'!T31=""),IF(($C$28*$C$29&lt;'SA Apr 2019'!R31+'SA Apr 2019'!P31),(0),(($C$28*$C$29-('SA Apr 2019'!R31+'SA Apr 2019'!P31))*'SA Apr 2019'!S31/100)),IF(AND('SA Apr 2019'!P31&gt;0,'SA Apr 2019'!R31=""&gt;0),IF(($C$28*$C$29&lt;'SA Apr 2019'!P31),(0),($C$28*$C$29-'SA Apr 2019'!P31)*'SA Apr 2019'!Q31/100),0)))</f>
        <v>0</v>
      </c>
      <c r="G45" s="50">
        <f>($C$28*$C$30)*'SA Apr 2019'!AF31/100</f>
        <v>387.3</v>
      </c>
      <c r="H45" s="51">
        <v>0</v>
      </c>
      <c r="I45" s="52">
        <f t="shared" si="13"/>
        <v>1786.1688000000001</v>
      </c>
      <c r="J45" s="111">
        <f t="shared" si="14"/>
        <v>6741.8</v>
      </c>
      <c r="K45" s="112">
        <f t="shared" si="15"/>
        <v>7144.6752000000006</v>
      </c>
      <c r="L45" s="53">
        <f t="shared" si="16"/>
        <v>7859.1427200000016</v>
      </c>
      <c r="M45" s="54">
        <f>'SA Apr 2019'!BB31</f>
        <v>0</v>
      </c>
      <c r="N45" s="54">
        <f>'SA Apr 2019'!BC31</f>
        <v>0</v>
      </c>
      <c r="O45" s="54">
        <f>'SA Apr 2019'!BD31</f>
        <v>12</v>
      </c>
      <c r="P45" s="54">
        <f>'SA Apr 2019'!BE31</f>
        <v>0</v>
      </c>
      <c r="Q45" s="54" t="str">
        <f t="shared" si="17"/>
        <v>Pay-on-time off bill</v>
      </c>
      <c r="R45" s="54" t="s">
        <v>543</v>
      </c>
      <c r="S45" s="111">
        <f t="shared" si="18"/>
        <v>7144.6752000000006</v>
      </c>
      <c r="T45" s="112">
        <f t="shared" si="19"/>
        <v>6287.3141760000008</v>
      </c>
      <c r="U45" s="53">
        <f t="shared" si="20"/>
        <v>7859.1427200000016</v>
      </c>
      <c r="V45" s="53">
        <f t="shared" si="20"/>
        <v>6916.0455936000017</v>
      </c>
      <c r="W45" s="55">
        <f>'SA Apr 2019'!BL38</f>
        <v>0</v>
      </c>
      <c r="X45" s="56" t="s">
        <v>175</v>
      </c>
    </row>
    <row r="46" spans="1:53" x14ac:dyDescent="0.15">
      <c r="A46" s="70" t="str">
        <f>'SA Apr 2019'!K32</f>
        <v>Amaysim</v>
      </c>
      <c r="B46" s="49" t="str">
        <f>'SA Apr 2019'!L32</f>
        <v>Business as you go</v>
      </c>
      <c r="C46" s="46">
        <f>IF('SA Apr 2019'!BP32=0,91*'SA Apr 2019'!M32/100,(91*'SA Apr 2019'!M32/100)+'SA Apr 2019'!BP32/4)</f>
        <v>58.558499999999995</v>
      </c>
      <c r="D46" s="46">
        <f>IF('SA Apr 2019'!O32="",$C$28*$C$29*'SA Apr 2019'!N32/100,IF($C$28*$C$29&gt;='SA Apr 2019'!P32,('SA Apr 2019'!P32*'SA Apr 2019'!N32/100),($C$28*$C$29*'SA Apr 2019'!N32/100)))</f>
        <v>1255.8000000000002</v>
      </c>
      <c r="E46" s="46">
        <f>IF(AND('SA Apr 2019'!P32&gt;0,'SA Apr 2019'!R32&gt;0),IF($C$28*$C$29&lt;'SA Apr 2019'!P32,0,IF($C$28*$C$29&lt;=('SA Apr 2019'!R32+'SA Apr 2019'!P32),(($C$28*$C$29-'SA Apr 2019'!P32)*'SA Apr 2019'!Q32/100),(('SA Apr 2019'!R32)*'SA Apr 2019'!Q32/100))),0)</f>
        <v>0</v>
      </c>
      <c r="F46" s="46">
        <f>IF(AND('SA Apr 2019'!R32&gt;0,'SA Apr 2019'!T32&gt;0),IF(($C$28*$C$29&lt;'SA Apr 2019'!T32),(0),($C$28*$C$29-'SA Apr 2019'!T32)*'SA Apr 2019'!U32/100),IF(AND('SA Apr 2019'!R32&gt;0,'SA Apr 2019'!T32=""),IF(($C$28*$C$29&lt;'SA Apr 2019'!R32+'SA Apr 2019'!P32),(0),(($C$28*$C$29-('SA Apr 2019'!R32+'SA Apr 2019'!P32))*'SA Apr 2019'!S32/100)),IF(AND('SA Apr 2019'!P32&gt;0,'SA Apr 2019'!R32=""&gt;0),IF(($C$28*$C$29&lt;'SA Apr 2019'!P32),(0),($C$28*$C$29-'SA Apr 2019'!P32)*'SA Apr 2019'!Q32/100),0)))</f>
        <v>0</v>
      </c>
      <c r="G46" s="50">
        <f>($C$28*$C$30)*'SA Apr 2019'!AF32/100</f>
        <v>458.55</v>
      </c>
      <c r="H46" s="51">
        <v>0</v>
      </c>
      <c r="I46" s="52">
        <f t="shared" si="13"/>
        <v>1772.9085000000002</v>
      </c>
      <c r="J46" s="111">
        <f t="shared" si="14"/>
        <v>6857.4000000000005</v>
      </c>
      <c r="K46" s="112">
        <f t="shared" si="15"/>
        <v>7091.6340000000009</v>
      </c>
      <c r="L46" s="53">
        <f t="shared" si="16"/>
        <v>7800.7974000000013</v>
      </c>
      <c r="M46" s="54">
        <f>'SA Apr 2019'!BB32</f>
        <v>0</v>
      </c>
      <c r="N46" s="54">
        <f>'SA Apr 2019'!BC32</f>
        <v>0</v>
      </c>
      <c r="O46" s="54">
        <f>'SA Apr 2019'!BD32</f>
        <v>0</v>
      </c>
      <c r="P46" s="54">
        <f>'SA Apr 2019'!BE32</f>
        <v>0</v>
      </c>
      <c r="Q46" s="54" t="str">
        <f t="shared" si="17"/>
        <v>No discount</v>
      </c>
      <c r="R46" s="54" t="s">
        <v>543</v>
      </c>
      <c r="S46" s="111">
        <f t="shared" si="18"/>
        <v>7091.6340000000009</v>
      </c>
      <c r="T46" s="112">
        <f t="shared" si="19"/>
        <v>7091.6340000000009</v>
      </c>
      <c r="U46" s="53">
        <f t="shared" ref="U46:U48" si="21">S46*1.1</f>
        <v>7800.7974000000013</v>
      </c>
      <c r="V46" s="53">
        <f t="shared" ref="V46:V48" si="22">T46*1.1</f>
        <v>7800.7974000000013</v>
      </c>
      <c r="W46" s="55">
        <f>'SA Apr 2019'!BL39</f>
        <v>24</v>
      </c>
      <c r="X46" s="56" t="s">
        <v>175</v>
      </c>
    </row>
    <row r="47" spans="1:53" x14ac:dyDescent="0.15">
      <c r="A47" s="70" t="str">
        <f>'SA Apr 2019'!K33</f>
        <v>Lumo Energy</v>
      </c>
      <c r="B47" s="49" t="str">
        <f>'SA Apr 2019'!L33</f>
        <v>Value</v>
      </c>
      <c r="C47" s="46">
        <f>IF('SA Apr 2019'!BP33=0,91*'SA Apr 2019'!M33/100,(91*'SA Apr 2019'!M33/100)+'SA Apr 2019'!BP33/4)</f>
        <v>77.349999999999994</v>
      </c>
      <c r="D47" s="46">
        <f>IF('SA Apr 2019'!O33="",$C$28*$C$29*'SA Apr 2019'!N33/100,IF($C$28*$C$29&gt;='SA Apr 2019'!P33,('SA Apr 2019'!P33*'SA Apr 2019'!N33/100),($C$28*$C$29*'SA Apr 2019'!N33/100)))</f>
        <v>862.5</v>
      </c>
      <c r="E47" s="46">
        <f>IF(AND('SA Apr 2019'!P33&gt;0,'SA Apr 2019'!R33&gt;0),IF($C$28*$C$29&lt;'SA Apr 2019'!P33,0,IF($C$28*$C$29&lt;=('SA Apr 2019'!R33+'SA Apr 2019'!P33),(($C$28*$C$29-'SA Apr 2019'!P33)*'SA Apr 2019'!Q33/100),(('SA Apr 2019'!R33)*'SA Apr 2019'!Q33/100))),0)</f>
        <v>0</v>
      </c>
      <c r="F47" s="46">
        <f>IF(AND('SA Apr 2019'!R33&gt;0,'SA Apr 2019'!T33&gt;0),IF(($C$28*$C$29&lt;'SA Apr 2019'!T33),(0),($C$28*$C$29-'SA Apr 2019'!T33)*'SA Apr 2019'!U33/100),IF(AND('SA Apr 2019'!R33&gt;0,'SA Apr 2019'!T33=""),IF(($C$28*$C$29&lt;'SA Apr 2019'!R33+'SA Apr 2019'!P33),(0),(($C$28*$C$29-('SA Apr 2019'!R33+'SA Apr 2019'!P33))*'SA Apr 2019'!S33/100)),IF(AND('SA Apr 2019'!P33&gt;0,'SA Apr 2019'!R33=""&gt;0),IF(($C$28*$C$29&lt;'SA Apr 2019'!P33),(0),($C$28*$C$29-'SA Apr 2019'!P33)*'SA Apr 2019'!Q33/100),0)))</f>
        <v>341</v>
      </c>
      <c r="G47" s="50">
        <f>($C$28*$C$30)*'SA Apr 2019'!AF33/100</f>
        <v>282</v>
      </c>
      <c r="H47" s="51">
        <v>0</v>
      </c>
      <c r="I47" s="52">
        <f t="shared" ref="I47:I48" si="23">SUM(C47:G47)</f>
        <v>1562.85</v>
      </c>
      <c r="J47" s="111">
        <f t="shared" si="14"/>
        <v>5942</v>
      </c>
      <c r="K47" s="112">
        <f t="shared" ref="K47:K48" si="24">I47*4</f>
        <v>6251.4</v>
      </c>
      <c r="L47" s="53">
        <f t="shared" si="16"/>
        <v>6876.54</v>
      </c>
      <c r="M47" s="54">
        <f>'SA Apr 2019'!BB33</f>
        <v>0</v>
      </c>
      <c r="N47" s="54">
        <f>'SA Apr 2019'!BC33</f>
        <v>0</v>
      </c>
      <c r="O47" s="54">
        <f>'SA Apr 2019'!BD33</f>
        <v>3</v>
      </c>
      <c r="P47" s="54">
        <f>'SA Apr 2019'!BE33</f>
        <v>0</v>
      </c>
      <c r="Q47" s="54" t="str">
        <f t="shared" si="17"/>
        <v>Pay-on-time off bill</v>
      </c>
      <c r="R47" s="54" t="s">
        <v>543</v>
      </c>
      <c r="S47" s="111">
        <f t="shared" si="18"/>
        <v>6251.4</v>
      </c>
      <c r="T47" s="112">
        <f t="shared" si="19"/>
        <v>6063.8579999999993</v>
      </c>
      <c r="U47" s="53">
        <f t="shared" si="21"/>
        <v>6876.54</v>
      </c>
      <c r="V47" s="53">
        <f t="shared" si="22"/>
        <v>6670.2437999999993</v>
      </c>
      <c r="W47" s="55">
        <f>'SA Apr 2019'!BL40</f>
        <v>0</v>
      </c>
      <c r="X47" s="56" t="s">
        <v>175</v>
      </c>
    </row>
    <row r="48" spans="1:53" ht="15" thickBot="1" x14ac:dyDescent="0.2">
      <c r="A48" s="71" t="str">
        <f>'SA Apr 2019'!K34</f>
        <v>Power Club</v>
      </c>
      <c r="B48" s="57" t="str">
        <f>'SA Apr 2019'!L34</f>
        <v>Powerbank Business</v>
      </c>
      <c r="C48" s="58">
        <f>IF('SA Apr 2019'!BP34=0,91*'SA Apr 2019'!M34/100,(91*'SA Apr 2019'!M34/100)+'SA Apr 2019'!BP34/4)</f>
        <v>98.671999999999997</v>
      </c>
      <c r="D48" s="58">
        <f>IF('SA Apr 2019'!O34="",$C$28*$C$29*'SA Apr 2019'!N34/100,IF($C$28*$C$29&gt;='SA Apr 2019'!P34,('SA Apr 2019'!P34*'SA Apr 2019'!N34/100),($C$28*$C$29*'SA Apr 2019'!N34/100)))</f>
        <v>1026.2</v>
      </c>
      <c r="E48" s="58">
        <f>IF(AND('SA Apr 2019'!P34&gt;0,'SA Apr 2019'!R34&gt;0),IF($C$28*$C$29&lt;'SA Apr 2019'!P34,0,IF($C$28*$C$29&lt;=('SA Apr 2019'!R34+'SA Apr 2019'!P34),(($C$28*$C$29-'SA Apr 2019'!P34)*'SA Apr 2019'!Q34/100),(('SA Apr 2019'!R34)*'SA Apr 2019'!Q34/100))),0)</f>
        <v>0</v>
      </c>
      <c r="F48" s="58">
        <f>IF(AND('SA Apr 2019'!R34&gt;0,'SA Apr 2019'!T34&gt;0),IF(($C$28*$C$29&lt;'SA Apr 2019'!T34),(0),($C$28*$C$29-'SA Apr 2019'!T34)*'SA Apr 2019'!U34/100),IF(AND('SA Apr 2019'!R34&gt;0,'SA Apr 2019'!T34=""),IF(($C$28*$C$29&lt;'SA Apr 2019'!R34+'SA Apr 2019'!P34),(0),(($C$28*$C$29-('SA Apr 2019'!R34+'SA Apr 2019'!P34))*'SA Apr 2019'!S34/100)),IF(AND('SA Apr 2019'!P34&gt;0,'SA Apr 2019'!R34=""&gt;0),IF(($C$28*$C$29&lt;'SA Apr 2019'!P34),(0),($C$28*$C$29-'SA Apr 2019'!P34)*'SA Apr 2019'!Q34/100),0)))</f>
        <v>0</v>
      </c>
      <c r="G48" s="59">
        <f>($C$28*$C$30)*'SA Apr 2019'!AF34/100</f>
        <v>252</v>
      </c>
      <c r="H48" s="60">
        <v>0</v>
      </c>
      <c r="I48" s="61">
        <f t="shared" si="23"/>
        <v>1376.8720000000001</v>
      </c>
      <c r="J48" s="113">
        <f t="shared" si="14"/>
        <v>5112.8</v>
      </c>
      <c r="K48" s="114">
        <f t="shared" si="24"/>
        <v>5507.4880000000003</v>
      </c>
      <c r="L48" s="62">
        <f t="shared" si="16"/>
        <v>6058.2368000000006</v>
      </c>
      <c r="M48" s="63">
        <f>'SA Apr 2019'!BB34</f>
        <v>0</v>
      </c>
      <c r="N48" s="63">
        <f>'SA Apr 2019'!BC34</f>
        <v>0</v>
      </c>
      <c r="O48" s="63">
        <f>'SA Apr 2019'!BD34</f>
        <v>0</v>
      </c>
      <c r="P48" s="63">
        <f>'SA Apr 2019'!BE34</f>
        <v>0</v>
      </c>
      <c r="Q48" s="63" t="str">
        <f t="shared" si="17"/>
        <v>No discount</v>
      </c>
      <c r="R48" s="63" t="s">
        <v>543</v>
      </c>
      <c r="S48" s="113">
        <f t="shared" si="18"/>
        <v>5507.4880000000003</v>
      </c>
      <c r="T48" s="114">
        <f t="shared" si="19"/>
        <v>5507.4880000000003</v>
      </c>
      <c r="U48" s="62">
        <f t="shared" si="21"/>
        <v>6058.2368000000006</v>
      </c>
      <c r="V48" s="62">
        <f t="shared" si="22"/>
        <v>6058.2368000000006</v>
      </c>
      <c r="W48" s="64">
        <f>'SA Apr 2019'!BL41</f>
        <v>0</v>
      </c>
      <c r="X48" s="65" t="s">
        <v>175</v>
      </c>
    </row>
    <row r="50" spans="1:53" ht="15" thickBot="1" x14ac:dyDescent="0.2">
      <c r="F50" s="77"/>
      <c r="U50" s="77"/>
      <c r="V50" s="77"/>
      <c r="W50" s="77"/>
      <c r="X50" s="77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</row>
    <row r="51" spans="1:53" x14ac:dyDescent="0.15">
      <c r="A51" s="36" t="s">
        <v>176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9"/>
    </row>
    <row r="52" spans="1:53" x14ac:dyDescent="0.15">
      <c r="A52" s="40" t="s">
        <v>197</v>
      </c>
      <c r="B52" s="38"/>
      <c r="C52" s="47">
        <v>5000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41"/>
    </row>
    <row r="53" spans="1:53" x14ac:dyDescent="0.15">
      <c r="A53" s="40" t="s">
        <v>85</v>
      </c>
      <c r="B53" s="38"/>
      <c r="C53" s="48">
        <v>0.7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41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</row>
    <row r="54" spans="1:53" x14ac:dyDescent="0.15">
      <c r="A54" s="40" t="s">
        <v>172</v>
      </c>
      <c r="B54" s="38"/>
      <c r="C54" s="48">
        <v>0.3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41"/>
    </row>
    <row r="55" spans="1:53" x14ac:dyDescent="0.15">
      <c r="A55" s="38"/>
      <c r="B55" s="38"/>
      <c r="C55" s="38"/>
      <c r="D55" s="38"/>
      <c r="E55" s="38"/>
      <c r="F55" s="49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41"/>
    </row>
    <row r="56" spans="1:53" ht="75" x14ac:dyDescent="0.15">
      <c r="A56" s="271" t="s">
        <v>216</v>
      </c>
      <c r="B56" s="272" t="s">
        <v>198</v>
      </c>
      <c r="C56" s="274" t="s">
        <v>199</v>
      </c>
      <c r="D56" s="274" t="s">
        <v>200</v>
      </c>
      <c r="E56" s="274" t="s">
        <v>201</v>
      </c>
      <c r="F56" s="274" t="s">
        <v>202</v>
      </c>
      <c r="G56" s="274" t="s">
        <v>164</v>
      </c>
      <c r="H56" s="274" t="s">
        <v>173</v>
      </c>
      <c r="I56" s="274" t="s">
        <v>165</v>
      </c>
      <c r="J56" s="274" t="s">
        <v>544</v>
      </c>
      <c r="K56" s="277" t="s">
        <v>166</v>
      </c>
      <c r="L56" s="277" t="s">
        <v>545</v>
      </c>
      <c r="M56" s="278" t="s">
        <v>167</v>
      </c>
      <c r="N56" s="278" t="s">
        <v>168</v>
      </c>
      <c r="O56" s="278" t="s">
        <v>169</v>
      </c>
      <c r="P56" s="278" t="s">
        <v>170</v>
      </c>
      <c r="Q56" s="278" t="s">
        <v>541</v>
      </c>
      <c r="R56" s="278" t="s">
        <v>542</v>
      </c>
      <c r="S56" s="281" t="s">
        <v>546</v>
      </c>
      <c r="T56" s="281" t="s">
        <v>547</v>
      </c>
      <c r="U56" s="281" t="s">
        <v>227</v>
      </c>
      <c r="V56" s="281" t="s">
        <v>272</v>
      </c>
      <c r="W56" s="278" t="s">
        <v>82</v>
      </c>
      <c r="X56" s="282" t="s">
        <v>83</v>
      </c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</row>
    <row r="57" spans="1:53" x14ac:dyDescent="0.15">
      <c r="A57" s="70" t="str">
        <f>'SA Apr 2019'!K35</f>
        <v>AGL</v>
      </c>
      <c r="B57" s="49" t="str">
        <f>'SA Apr 2019'!L35</f>
        <v xml:space="preserve">Business Savers </v>
      </c>
      <c r="C57" s="46">
        <f>IF('SA Apr 2019'!BP35=0,91*'SA Apr 2019'!M35/100,(91*'SA Apr 2019'!M35/100)+'SA Apr 2019'!BP35/4)</f>
        <v>82.81</v>
      </c>
      <c r="D57" s="46">
        <f>IF('SA Apr 2019'!O35="",$C$52*$C$53*'SA Apr 2019'!N35/100,IF($C$52*$C$53&gt;='SA Apr 2019'!P35,('SA Apr 2019'!P35*'SA Apr 2019'!N35/100),($C$52*$C$53*'SA Apr 2019'!N35/100)))</f>
        <v>1501.5</v>
      </c>
      <c r="E57" s="46">
        <f>IF(AND('SA Apr 2019'!P35&gt;0,'SA Apr 2019'!R35&gt;0),IF($C$52*$C$53&lt;'SA Apr 2019'!P35,0,IF($C$52*$C$53&lt;=('SA Apr 2019'!R35+'SA Apr 2019'!P35),(($C$52*$C$53-'SA Apr 2019'!P35)*'SA Apr 2019'!Q35/100),(('SA Apr 2019'!R35)*'SA Apr 2019'!Q35/100))),0)</f>
        <v>0</v>
      </c>
      <c r="F57" s="46">
        <f>IF(AND('SA Apr 2019'!Q19&gt;0,'SA Apr 2019'!S19&gt;0),IF($C$52*$C$53&lt;('SA Apr 2019'!R19+'SA Apr 2019'!P19),0,IF($C$52*$C$53&lt;=('SA Apr 2019'!T19+'SA Apr 2019'!R19+'SA Apr 2019'!P19),(($C$52*$C$53-('SA Apr 2019'!R19+'SA Apr 2019'!P19))*'SA Apr 2019'!S19/100),('SA Apr 2019'!T19*'SA Apr 2019'!S19/100))),0)</f>
        <v>0</v>
      </c>
      <c r="G57" s="50">
        <f>IF(AND('SA Apr 2019'!R35&gt;0,'SA Apr 2019'!T35&gt;0),IF(($C$52*$C$53&lt;'SA Apr 2019'!T35),(0),($C$52*$C$53-'SA Apr 2019'!T35)*'SA Apr 2019'!U35/100),IF(AND('SA Apr 2019'!R35&gt;0,'SA Apr 2019'!T35=""),IF(($C$52*$C$53&lt;'SA Apr 2019'!R35+'SA Apr 2019'!P35),(0),(($C$52*$C$53-('SA Apr 2019'!R35+'SA Apr 2019'!P35))*'SA Apr 2019'!S35/100)),IF(AND('SA Apr 2019'!P35&gt;0,'SA Apr 2019'!R35=""&gt;0),IF(($C$52*$C$53&lt;'SA Apr 2019'!P35),(0),($C$52*$C$53-'SA Apr 2019'!P35)*'SA Apr 2019'!Q35/100),0)))</f>
        <v>0</v>
      </c>
      <c r="H57" s="51">
        <f>($C$52*$C$54)*'SA Apr 2019'!W35/100</f>
        <v>418.5</v>
      </c>
      <c r="I57" s="52">
        <f>SUM(C57:H57)</f>
        <v>2002.81</v>
      </c>
      <c r="J57" s="102">
        <f>(I57-C57)*4</f>
        <v>7680</v>
      </c>
      <c r="K57" s="103">
        <f>I57*4</f>
        <v>8011.24</v>
      </c>
      <c r="L57" s="53">
        <f>K57*1.1</f>
        <v>8812.3639999999996</v>
      </c>
      <c r="M57" s="54">
        <f>'SA Apr 2019'!BB35</f>
        <v>0</v>
      </c>
      <c r="N57" s="54">
        <f>'SA Apr 2019'!BC35</f>
        <v>18</v>
      </c>
      <c r="O57" s="54">
        <f>'SA Apr 2019'!BD35</f>
        <v>0</v>
      </c>
      <c r="P57" s="54">
        <f>'SA Apr 2019'!BE35</f>
        <v>0</v>
      </c>
      <c r="Q57" s="54" t="str">
        <f>IF(SUM(M57:P57)=0,"No discount",IF(M57&gt;0,"Guaranteed off bill",IF(N57&gt;0,"Guaranteed off usage",IF(O57&gt;0,"Pay-on-time off bill","Pay-on-time off usage"))))</f>
        <v>Guaranteed off usage</v>
      </c>
      <c r="R57" s="54" t="s">
        <v>543</v>
      </c>
      <c r="S57" s="107">
        <f>IF(AND(Q57="Guaranteed off bill",R57="Inclusive"),((K57*1.1)-((K57*1.1)*M57/100))/1.1,IF(AND(Q57="Guaranteed off usage",R57="Inclusive"),((K57*1.1)-((J57*1.1)*N57/100))/1.1,IF(AND(Q57="Guaranteed off bill",R57="Exclusive"),K57-(K57*M57/100),IF(AND(Q57="Guaranteed off usage",R57="Exclusive"),K57-(J57*N57/100),IF(R57="Inclusive",((K57*1.1))/1.1,K57)))))</f>
        <v>6628.84</v>
      </c>
      <c r="T57" s="108">
        <f>IF(AND(Q57="Pay-on-time off bill",R57="Inclusive"),((S57*1.1)-((S57*1.1)*O57/100))/1.1,IF(AND(Q57="Pay-on-time off usage",R57="Inclusive"),((S57*1.1)-((J57*1.1)*P57/100))/1.1,IF(AND(Q57="Pay-on-time off bill",R57="Exclusive"),S57-(S57*O57/100),IF(AND(Q57="Pay-on-time off usage",R57="Exclusive"),S57-(J57*P57/100),IF(R57="Inclusive",((S57*1.1))/1.1,S57)))))</f>
        <v>6628.84</v>
      </c>
      <c r="U57" s="53">
        <f>S57*1.1</f>
        <v>7291.7240000000011</v>
      </c>
      <c r="V57" s="53">
        <f>T57*1.1</f>
        <v>7291.7240000000011</v>
      </c>
      <c r="W57" s="55">
        <f>'SA Apr 2019'!BL35</f>
        <v>0</v>
      </c>
      <c r="X57" s="56" t="str">
        <f>'SA Apr 2019'!BM35</f>
        <v>n</v>
      </c>
    </row>
    <row r="58" spans="1:53" x14ac:dyDescent="0.15">
      <c r="A58" s="70" t="str">
        <f>'SA Apr 2019'!K36</f>
        <v>Alinta Energy</v>
      </c>
      <c r="B58" s="49" t="str">
        <f>'SA Apr 2019'!L36</f>
        <v>Corporate Saver</v>
      </c>
      <c r="C58" s="46">
        <f>IF('SA Apr 2019'!BP36=0,91*'SA Apr 2019'!M36/100,(91*'SA Apr 2019'!M36/100)+'SA Apr 2019'!BP36/4)</f>
        <v>82.355000000000004</v>
      </c>
      <c r="D58" s="46">
        <f>IF('SA Apr 2019'!O36="",$C$52*$C$53*'SA Apr 2019'!N36/100,IF($C$52*$C$53&gt;='SA Apr 2019'!P36,('SA Apr 2019'!P36*'SA Apr 2019'!N36/100),($C$52*$C$53*'SA Apr 2019'!N36/100)))</f>
        <v>1779.75</v>
      </c>
      <c r="E58" s="46">
        <f>IF(AND('SA Apr 2019'!P36&gt;0,'SA Apr 2019'!R36&gt;0),IF($C$52*$C$53&lt;'SA Apr 2019'!P36,0,IF($C$52*$C$53&lt;=('SA Apr 2019'!R36+'SA Apr 2019'!P36),(($C$52*$C$53-'SA Apr 2019'!P36)*'SA Apr 2019'!Q36/100),(('SA Apr 2019'!R36)*'SA Apr 2019'!Q36/100))),0)</f>
        <v>0</v>
      </c>
      <c r="F58" s="46">
        <f>IF(AND('SA Apr 2019'!Q20&gt;0,'SA Apr 2019'!S20&gt;0),IF($C$52*$C$53&lt;('SA Apr 2019'!R20+'SA Apr 2019'!P20),0,IF($C$52*$C$53&lt;=('SA Apr 2019'!T20+'SA Apr 2019'!R20+'SA Apr 2019'!P20),(($C$52*$C$53-('SA Apr 2019'!R20+'SA Apr 2019'!P20))*'SA Apr 2019'!S20/100),('SA Apr 2019'!T20*'SA Apr 2019'!S20/100))),0)</f>
        <v>0</v>
      </c>
      <c r="G58" s="50">
        <f>IF(AND('SA Apr 2019'!R36&gt;0,'SA Apr 2019'!T36&gt;0),IF(($C$52*$C$53&lt;'SA Apr 2019'!T36),(0),($C$52*$C$53-'SA Apr 2019'!T36)*'SA Apr 2019'!U36/100),IF(AND('SA Apr 2019'!R36&gt;0,'SA Apr 2019'!T36=""),IF(($C$52*$C$53&lt;'SA Apr 2019'!R36+'SA Apr 2019'!P36),(0),(($C$52*$C$53-('SA Apr 2019'!R36+'SA Apr 2019'!P36))*'SA Apr 2019'!S36/100)),IF(AND('SA Apr 2019'!P36&gt;0,'SA Apr 2019'!R36=""&gt;0),IF(($C$52*$C$53&lt;'SA Apr 2019'!P36),(0),($C$52*$C$53-'SA Apr 2019'!P36)*'SA Apr 2019'!Q36/100),0)))</f>
        <v>0</v>
      </c>
      <c r="H58" s="51">
        <f>($C$52*$C$54)*'SA Apr 2019'!W36/100</f>
        <v>455.4</v>
      </c>
      <c r="I58" s="52">
        <f t="shared" ref="I58:I71" si="25">SUM(C58:H58)</f>
        <v>2317.5050000000001</v>
      </c>
      <c r="J58" s="102">
        <f t="shared" ref="J58:J72" si="26">(I58-C58)*4</f>
        <v>8940.6</v>
      </c>
      <c r="K58" s="103">
        <f t="shared" ref="K58:K71" si="27">I58*4</f>
        <v>9270.02</v>
      </c>
      <c r="L58" s="53">
        <f t="shared" ref="L58:L72" si="28">K58*1.1</f>
        <v>10197.022000000001</v>
      </c>
      <c r="M58" s="54">
        <f>'SA Apr 2019'!BB36</f>
        <v>0</v>
      </c>
      <c r="N58" s="54">
        <f>'SA Apr 2019'!BC36</f>
        <v>25</v>
      </c>
      <c r="O58" s="54">
        <f>'SA Apr 2019'!BD36</f>
        <v>0</v>
      </c>
      <c r="P58" s="54">
        <f>'SA Apr 2019'!BE36</f>
        <v>0</v>
      </c>
      <c r="Q58" s="54" t="str">
        <f t="shared" ref="Q58" si="29">IF(SUM(M58:P58)=0,"No discount",IF(M58&gt;0,"Guaranteed off bill",IF(N58&gt;0,"Guaranteed off usage",IF(O58&gt;0,"Pay-on-time off bill","Pay-on-time off usage"))))</f>
        <v>Guaranteed off usage</v>
      </c>
      <c r="R58" s="54" t="s">
        <v>543</v>
      </c>
      <c r="S58" s="102">
        <f t="shared" ref="S58:S72" si="30">IF(AND(Q58="Guaranteed off bill",R58="Inclusive"),((K58*1.1)-((K58*1.1)*M58/100))/1.1,IF(AND(Q58="Guaranteed off usage",R58="Inclusive"),((K58*1.1)-((J58*1.1)*N58/100))/1.1,IF(AND(Q58="Guaranteed off bill",R58="Exclusive"),K58-(K58*M58/100),IF(AND(Q58="Guaranteed off usage",R58="Exclusive"),K58-(J58*N58/100),IF(R58="Inclusive",((K58*1.1))/1.1,K58)))))</f>
        <v>7034.8700000000008</v>
      </c>
      <c r="T58" s="103">
        <f t="shared" ref="T58:T72" si="31">IF(AND(Q58="Pay-on-time off bill",R58="Inclusive"),((S58*1.1)-((S58*1.1)*O58/100))/1.1,IF(AND(Q58="Pay-on-time off usage",R58="Inclusive"),((S58*1.1)-((J58*1.1)*P58/100))/1.1,IF(AND(Q58="Pay-on-time off bill",R58="Exclusive"),S58-(S58*O58/100),IF(AND(Q58="Pay-on-time off usage",R58="Exclusive"),S58-(J58*P58/100),IF(R58="Inclusive",((S58*1.1))/1.1,S58)))))</f>
        <v>7034.8700000000008</v>
      </c>
      <c r="U58" s="53">
        <f t="shared" ref="U58:U72" si="32">S58*1.1</f>
        <v>7738.3570000000018</v>
      </c>
      <c r="V58" s="53">
        <f t="shared" ref="V58:V72" si="33">T58*1.1</f>
        <v>7738.3570000000018</v>
      </c>
      <c r="W58" s="55">
        <f>'SA Apr 2019'!BL36</f>
        <v>0</v>
      </c>
      <c r="X58" s="56" t="str">
        <f>'SA Apr 2019'!BM36</f>
        <v>n</v>
      </c>
    </row>
    <row r="59" spans="1:53" x14ac:dyDescent="0.15">
      <c r="A59" s="70" t="str">
        <f>'SA Apr 2019'!K37</f>
        <v>Click Energy</v>
      </c>
      <c r="B59" s="49" t="str">
        <f>'SA Apr 2019'!L37</f>
        <v xml:space="preserve">Click Business </v>
      </c>
      <c r="C59" s="46">
        <f>IF('SA Apr 2019'!BP37=0,91*'SA Apr 2019'!M37/100,(91*'SA Apr 2019'!M37/100)+'SA Apr 2019'!BP37/4)</f>
        <v>75.075000000000003</v>
      </c>
      <c r="D59" s="46">
        <f>IF('SA Apr 2019'!O37="",$C$52*$C$53*'SA Apr 2019'!N37/100,IF($C$52*$C$53&gt;='SA Apr 2019'!P37,('SA Apr 2019'!P37*'SA Apr 2019'!N37/100),($C$52*$C$53*'SA Apr 2019'!N37/100)))</f>
        <v>1676.5</v>
      </c>
      <c r="E59" s="46">
        <f>IF(AND('SA Apr 2019'!P37&gt;0,'SA Apr 2019'!R37&gt;0),IF($C$52*$C$53&lt;'SA Apr 2019'!P37,0,IF($C$52*$C$53&lt;=('SA Apr 2019'!R37+'SA Apr 2019'!P37),(($C$52*$C$53-'SA Apr 2019'!P37)*'SA Apr 2019'!Q37/100),(('SA Apr 2019'!R37)*'SA Apr 2019'!Q37/100))),0)</f>
        <v>0</v>
      </c>
      <c r="F59" s="46">
        <f>IF(AND('SA Apr 2019'!Q21&gt;0,'SA Apr 2019'!S21&gt;0),IF($C$52*$C$53&lt;('SA Apr 2019'!R21+'SA Apr 2019'!P21),0,IF($C$52*$C$53&lt;=('SA Apr 2019'!T21+'SA Apr 2019'!R21+'SA Apr 2019'!P21),(($C$52*$C$53-('SA Apr 2019'!R21+'SA Apr 2019'!P21))*'SA Apr 2019'!S21/100),('SA Apr 2019'!T21*'SA Apr 2019'!S21/100))),0)</f>
        <v>0</v>
      </c>
      <c r="G59" s="50">
        <f>IF(AND('SA Apr 2019'!R37&gt;0,'SA Apr 2019'!T37&gt;0),IF(($C$52*$C$53&lt;'SA Apr 2019'!T37),(0),($C$52*$C$53-'SA Apr 2019'!T37)*'SA Apr 2019'!U37/100),IF(AND('SA Apr 2019'!R37&gt;0,'SA Apr 2019'!T37=""),IF(($C$52*$C$53&lt;'SA Apr 2019'!R37+'SA Apr 2019'!P37),(0),(($C$52*$C$53-('SA Apr 2019'!R37+'SA Apr 2019'!P37))*'SA Apr 2019'!S37/100)),IF(AND('SA Apr 2019'!P37&gt;0,'SA Apr 2019'!R37=""&gt;0),IF(($C$52*$C$53&lt;'SA Apr 2019'!P37),(0),($C$52*$C$53-'SA Apr 2019'!P37)*'SA Apr 2019'!Q37/100),0)))</f>
        <v>0</v>
      </c>
      <c r="H59" s="51">
        <f>($C$52*$C$54)*'SA Apr 2019'!W37/100</f>
        <v>595.50000000000011</v>
      </c>
      <c r="I59" s="52">
        <f t="shared" si="25"/>
        <v>2347.0750000000003</v>
      </c>
      <c r="J59" s="102">
        <f t="shared" si="26"/>
        <v>9088.0000000000018</v>
      </c>
      <c r="K59" s="103">
        <f t="shared" si="27"/>
        <v>9388.3000000000011</v>
      </c>
      <c r="L59" s="53">
        <f t="shared" si="28"/>
        <v>10327.130000000003</v>
      </c>
      <c r="M59" s="54">
        <f>'SA Apr 2019'!BB37</f>
        <v>0</v>
      </c>
      <c r="N59" s="54">
        <f>'SA Apr 2019'!BC37</f>
        <v>0</v>
      </c>
      <c r="O59" s="54">
        <f>'SA Apr 2019'!BD37</f>
        <v>10</v>
      </c>
      <c r="P59" s="54">
        <f>'SA Apr 2019'!BE37</f>
        <v>0</v>
      </c>
      <c r="Q59" s="54" t="str">
        <f t="shared" ref="Q59:Q72" si="34">IF(SUM(M59:P59)=0,"No discount",IF(M59&gt;0,"Guaranteed off bill",IF(N59&gt;0,"Guaranteed off usage",IF(O59&gt;0,"Pay-on-time off bill","Pay-on-time off usage"))))</f>
        <v>Pay-on-time off bill</v>
      </c>
      <c r="R59" s="54" t="s">
        <v>543</v>
      </c>
      <c r="S59" s="102">
        <f t="shared" si="30"/>
        <v>9388.3000000000011</v>
      </c>
      <c r="T59" s="103">
        <f t="shared" si="31"/>
        <v>8449.4700000000012</v>
      </c>
      <c r="U59" s="53">
        <f t="shared" si="32"/>
        <v>10327.130000000003</v>
      </c>
      <c r="V59" s="53">
        <f t="shared" si="33"/>
        <v>9294.4170000000013</v>
      </c>
      <c r="W59" s="55">
        <f>'SA Apr 2019'!BL37</f>
        <v>0</v>
      </c>
      <c r="X59" s="56" t="str">
        <f>'SA Apr 2019'!BM37</f>
        <v>n</v>
      </c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</row>
    <row r="60" spans="1:53" x14ac:dyDescent="0.15">
      <c r="A60" s="70" t="str">
        <f>'SA Apr 2019'!K38</f>
        <v>Commander</v>
      </c>
      <c r="B60" s="49" t="str">
        <f>'SA Apr 2019'!L38</f>
        <v>Market offer</v>
      </c>
      <c r="C60" s="46">
        <f>IF('SA Apr 2019'!BP38=0,91*'SA Apr 2019'!M38/100,(91*'SA Apr 2019'!M38/100)+'SA Apr 2019'!BP38/4)</f>
        <v>81.444999999999993</v>
      </c>
      <c r="D60" s="46">
        <f>IF('SA Apr 2019'!O38="",$C$52*$C$53*'SA Apr 2019'!N38/100,IF($C$52*$C$53&gt;='SA Apr 2019'!P38,('SA Apr 2019'!P38*'SA Apr 2019'!N38/100),($C$52*$C$53*'SA Apr 2019'!N38/100)))</f>
        <v>1704.5</v>
      </c>
      <c r="E60" s="46">
        <f>IF(AND('SA Apr 2019'!P38&gt;0,'SA Apr 2019'!R38&gt;0),IF($C$52*$C$53&lt;'SA Apr 2019'!P38,0,IF($C$52*$C$53&lt;=('SA Apr 2019'!R38+'SA Apr 2019'!P38),(($C$52*$C$53-'SA Apr 2019'!P38)*'SA Apr 2019'!Q38/100),(('SA Apr 2019'!R38)*'SA Apr 2019'!Q38/100))),0)</f>
        <v>0</v>
      </c>
      <c r="F60" s="46">
        <f>IF(AND('SA Apr 2019'!Q22&gt;0,'SA Apr 2019'!S22&gt;0),IF($C$52*$C$53&lt;('SA Apr 2019'!R22+'SA Apr 2019'!P22),0,IF($C$52*$C$53&lt;=('SA Apr 2019'!T22+'SA Apr 2019'!R22+'SA Apr 2019'!P22),(($C$52*$C$53-('SA Apr 2019'!R22+'SA Apr 2019'!P22))*'SA Apr 2019'!S22/100),('SA Apr 2019'!T22*'SA Apr 2019'!S22/100))),0)</f>
        <v>0</v>
      </c>
      <c r="G60" s="50">
        <f>IF(AND('SA Apr 2019'!R38&gt;0,'SA Apr 2019'!T38&gt;0),IF(($C$52*$C$53&lt;'SA Apr 2019'!T38),(0),($C$52*$C$53-'SA Apr 2019'!T38)*'SA Apr 2019'!U38/100),IF(AND('SA Apr 2019'!R38&gt;0,'SA Apr 2019'!T38=""),IF(($C$52*$C$53&lt;'SA Apr 2019'!R38+'SA Apr 2019'!P38),(0),(($C$52*$C$53-('SA Apr 2019'!R38+'SA Apr 2019'!P38))*'SA Apr 2019'!S38/100)),IF(AND('SA Apr 2019'!P38&gt;0,'SA Apr 2019'!R38=""&gt;0),IF(($C$52*$C$53&lt;'SA Apr 2019'!P38),(0),($C$52*$C$53-'SA Apr 2019'!P38)*'SA Apr 2019'!Q38/100),0)))</f>
        <v>0</v>
      </c>
      <c r="H60" s="51">
        <f>($C$52*$C$54)*'SA Apr 2019'!W38/100</f>
        <v>464.25</v>
      </c>
      <c r="I60" s="52">
        <f t="shared" si="25"/>
        <v>2250.1949999999997</v>
      </c>
      <c r="J60" s="102">
        <f t="shared" si="26"/>
        <v>8674.9999999999982</v>
      </c>
      <c r="K60" s="103">
        <f t="shared" si="27"/>
        <v>9000.7799999999988</v>
      </c>
      <c r="L60" s="53">
        <f t="shared" si="28"/>
        <v>9900.8580000000002</v>
      </c>
      <c r="M60" s="54">
        <f>'SA Apr 2019'!BB38</f>
        <v>0</v>
      </c>
      <c r="N60" s="54">
        <f>'SA Apr 2019'!BC38</f>
        <v>0</v>
      </c>
      <c r="O60" s="54">
        <f>'SA Apr 2019'!BD38</f>
        <v>0</v>
      </c>
      <c r="P60" s="54">
        <f>'SA Apr 2019'!BE38</f>
        <v>20</v>
      </c>
      <c r="Q60" s="54" t="str">
        <f t="shared" si="34"/>
        <v>Pay-on-time off usage</v>
      </c>
      <c r="R60" s="54" t="s">
        <v>543</v>
      </c>
      <c r="S60" s="102">
        <f t="shared" si="30"/>
        <v>9000.7799999999988</v>
      </c>
      <c r="T60" s="103">
        <f t="shared" si="31"/>
        <v>7265.7799999999988</v>
      </c>
      <c r="U60" s="53">
        <f t="shared" si="32"/>
        <v>9900.8580000000002</v>
      </c>
      <c r="V60" s="53">
        <f t="shared" si="33"/>
        <v>7992.3579999999993</v>
      </c>
      <c r="W60" s="55">
        <f>'SA Apr 2019'!BL38</f>
        <v>0</v>
      </c>
      <c r="X60" s="56" t="str">
        <f>'SA Apr 2019'!BM38</f>
        <v>n</v>
      </c>
    </row>
    <row r="61" spans="1:53" x14ac:dyDescent="0.15">
      <c r="A61" s="70" t="str">
        <f>'SA Apr 2019'!K39</f>
        <v>Diamond Energy</v>
      </c>
      <c r="B61" s="49" t="str">
        <f>'SA Apr 2019'!L39</f>
        <v>Pay on time discount</v>
      </c>
      <c r="C61" s="46">
        <f>IF('SA Apr 2019'!BP39=0,91*'SA Apr 2019'!M39/100,(91*'SA Apr 2019'!M39/100)+'SA Apr 2019'!BP39/4)</f>
        <v>90.545000000000002</v>
      </c>
      <c r="D61" s="46">
        <f>IF('SA Apr 2019'!O39="",$C$52*$C$53*'SA Apr 2019'!N39/100,IF($C$52*$C$53&gt;='SA Apr 2019'!P39,('SA Apr 2019'!P39*'SA Apr 2019'!N39/100),($C$52*$C$53*'SA Apr 2019'!N39/100)))</f>
        <v>419</v>
      </c>
      <c r="E61" s="46">
        <f>IF(AND('SA Apr 2019'!P39&gt;0,'SA Apr 2019'!R39&gt;0),IF($C$52*$C$53&lt;'SA Apr 2019'!P39,0,IF($C$52*$C$53&lt;=('SA Apr 2019'!R39+'SA Apr 2019'!P39),(($C$52*$C$53-'SA Apr 2019'!P39)*'SA Apr 2019'!Q39/100),(('SA Apr 2019'!R39)*'SA Apr 2019'!Q39/100))),0)</f>
        <v>639</v>
      </c>
      <c r="F61" s="46">
        <f>IF(AND('SA Apr 2019'!Q23&gt;0,'SA Apr 2019'!S23&gt;0),IF($C$52*$C$53&lt;('SA Apr 2019'!R23+'SA Apr 2019'!P23),0,IF($C$52*$C$53&lt;=('SA Apr 2019'!T23+'SA Apr 2019'!R23+'SA Apr 2019'!P23),(($C$52*$C$53-('SA Apr 2019'!R23+'SA Apr 2019'!P23))*'SA Apr 2019'!S23/100),('SA Apr 2019'!T23*'SA Apr 2019'!S23/100))),0)</f>
        <v>0</v>
      </c>
      <c r="G61" s="50">
        <f>IF(AND('SA Apr 2019'!R39&gt;0,'SA Apr 2019'!T39&gt;0),IF(($C$52*$C$53&lt;'SA Apr 2019'!T39),(0),($C$52*$C$53-'SA Apr 2019'!T39)*'SA Apr 2019'!U39/100),IF(AND('SA Apr 2019'!R39&gt;0,'SA Apr 2019'!T39=""),IF(($C$52*$C$53&lt;'SA Apr 2019'!R39+'SA Apr 2019'!P39),(0),(($C$52*$C$53-('SA Apr 2019'!R39+'SA Apr 2019'!P39))*'SA Apr 2019'!S39/100)),IF(AND('SA Apr 2019'!P39&gt;0,'SA Apr 2019'!R39=""&gt;0),IF(($C$52*$C$53&lt;'SA Apr 2019'!P39),(0),($C$52*$C$53-'SA Apr 2019'!P39)*'SA Apr 2019'!Q39/100),0)))</f>
        <v>449</v>
      </c>
      <c r="H61" s="51">
        <f>($C$52*$C$54)*'SA Apr 2019'!W39/100</f>
        <v>419.25</v>
      </c>
      <c r="I61" s="52">
        <f t="shared" si="25"/>
        <v>2016.7950000000001</v>
      </c>
      <c r="J61" s="102">
        <f t="shared" si="26"/>
        <v>7705</v>
      </c>
      <c r="K61" s="103">
        <f t="shared" si="27"/>
        <v>8067.18</v>
      </c>
      <c r="L61" s="53">
        <f t="shared" si="28"/>
        <v>8873.898000000001</v>
      </c>
      <c r="M61" s="54">
        <f>'SA Apr 2019'!BB39</f>
        <v>0</v>
      </c>
      <c r="N61" s="54">
        <f>'SA Apr 2019'!BC39</f>
        <v>0</v>
      </c>
      <c r="O61" s="54">
        <f>'SA Apr 2019'!BD39</f>
        <v>7</v>
      </c>
      <c r="P61" s="54">
        <f>'SA Apr 2019'!BE39</f>
        <v>0</v>
      </c>
      <c r="Q61" s="54" t="str">
        <f t="shared" si="34"/>
        <v>Pay-on-time off bill</v>
      </c>
      <c r="R61" s="54" t="s">
        <v>543</v>
      </c>
      <c r="S61" s="102">
        <f t="shared" si="30"/>
        <v>8067.18</v>
      </c>
      <c r="T61" s="103">
        <f t="shared" si="31"/>
        <v>7502.4773999999998</v>
      </c>
      <c r="U61" s="53">
        <f t="shared" si="32"/>
        <v>8873.898000000001</v>
      </c>
      <c r="V61" s="53">
        <f t="shared" si="33"/>
        <v>8252.7251400000005</v>
      </c>
      <c r="W61" s="55">
        <f>'SA Apr 2019'!BL39</f>
        <v>24</v>
      </c>
      <c r="X61" s="56" t="str">
        <f>'SA Apr 2019'!BM39</f>
        <v>y</v>
      </c>
    </row>
    <row r="62" spans="1:53" x14ac:dyDescent="0.15">
      <c r="A62" s="70" t="str">
        <f>'SA Apr 2019'!K40</f>
        <v>EnergyAustralia</v>
      </c>
      <c r="B62" s="49" t="str">
        <f>'SA Apr 2019'!L40</f>
        <v>Everyday Saver Business</v>
      </c>
      <c r="C62" s="46">
        <f>IF('SA Apr 2019'!BP40=0,91*'SA Apr 2019'!M40/100,(91*'SA Apr 2019'!M40/100)+'SA Apr 2019'!BP40/4)</f>
        <v>81.536000000000001</v>
      </c>
      <c r="D62" s="46">
        <f>IF('SA Apr 2019'!O40="",$C$52*$C$53*'SA Apr 2019'!N40/100,IF($C$52*$C$53&gt;='SA Apr 2019'!P40,('SA Apr 2019'!P40*'SA Apr 2019'!N40/100),($C$52*$C$53*'SA Apr 2019'!N40/100)))</f>
        <v>1834.7</v>
      </c>
      <c r="E62" s="46">
        <f>IF(AND('SA Apr 2019'!P40&gt;0,'SA Apr 2019'!R40&gt;0),IF($C$52*$C$53&lt;'SA Apr 2019'!P40,0,IF($C$52*$C$53&lt;=('SA Apr 2019'!R40+'SA Apr 2019'!P40),(($C$52*$C$53-'SA Apr 2019'!P40)*'SA Apr 2019'!Q40/100),(('SA Apr 2019'!R40)*'SA Apr 2019'!Q40/100))),0)</f>
        <v>0</v>
      </c>
      <c r="F62" s="46">
        <f>IF(AND('SA Apr 2019'!Q24&gt;0,'SA Apr 2019'!S24&gt;0),IF($C$52*$C$53&lt;('SA Apr 2019'!R24+'SA Apr 2019'!P24),0,IF($C$52*$C$53&lt;=('SA Apr 2019'!T24+'SA Apr 2019'!R24+'SA Apr 2019'!P24),(($C$52*$C$53-('SA Apr 2019'!R24+'SA Apr 2019'!P24))*'SA Apr 2019'!S24/100),('SA Apr 2019'!T24*'SA Apr 2019'!S24/100))),0)</f>
        <v>0</v>
      </c>
      <c r="G62" s="50">
        <f>IF(AND('SA Apr 2019'!R40&gt;0,'SA Apr 2019'!T40&gt;0),IF(($C$52*$C$53&lt;'SA Apr 2019'!T40),(0),($C$52*$C$53-'SA Apr 2019'!T40)*'SA Apr 2019'!U40/100),IF(AND('SA Apr 2019'!R40&gt;0,'SA Apr 2019'!T40=""),IF(($C$52*$C$53&lt;'SA Apr 2019'!R40+'SA Apr 2019'!P40),(0),(($C$52*$C$53-('SA Apr 2019'!R40+'SA Apr 2019'!P40))*'SA Apr 2019'!S40/100)),IF(AND('SA Apr 2019'!P40&gt;0,'SA Apr 2019'!R40=""&gt;0),IF(($C$52*$C$53&lt;'SA Apr 2019'!P40),(0),($C$52*$C$53-'SA Apr 2019'!P40)*'SA Apr 2019'!Q40/100),0)))</f>
        <v>0</v>
      </c>
      <c r="H62" s="51">
        <f>($C$52*$C$54)*'SA Apr 2019'!W40/100</f>
        <v>379.5</v>
      </c>
      <c r="I62" s="52">
        <f t="shared" si="25"/>
        <v>2295.7359999999999</v>
      </c>
      <c r="J62" s="102">
        <f t="shared" si="26"/>
        <v>8856.7999999999993</v>
      </c>
      <c r="K62" s="103">
        <f t="shared" si="27"/>
        <v>9182.9439999999995</v>
      </c>
      <c r="L62" s="53">
        <f t="shared" si="28"/>
        <v>10101.2384</v>
      </c>
      <c r="M62" s="54">
        <f>'SA Apr 2019'!BB40</f>
        <v>0</v>
      </c>
      <c r="N62" s="54">
        <f>'SA Apr 2019'!BC40</f>
        <v>18</v>
      </c>
      <c r="O62" s="54">
        <f>'SA Apr 2019'!BD40</f>
        <v>0</v>
      </c>
      <c r="P62" s="54">
        <f>'SA Apr 2019'!BE40</f>
        <v>0</v>
      </c>
      <c r="Q62" s="54" t="str">
        <f t="shared" si="34"/>
        <v>Guaranteed off usage</v>
      </c>
      <c r="R62" s="54" t="s">
        <v>543</v>
      </c>
      <c r="S62" s="102">
        <f t="shared" si="30"/>
        <v>7588.7199999999993</v>
      </c>
      <c r="T62" s="103">
        <f t="shared" si="31"/>
        <v>7588.7199999999993</v>
      </c>
      <c r="U62" s="53">
        <f t="shared" si="32"/>
        <v>8347.5920000000006</v>
      </c>
      <c r="V62" s="53">
        <f t="shared" si="33"/>
        <v>8347.5920000000006</v>
      </c>
      <c r="W62" s="55">
        <f>'SA Apr 2019'!BL40</f>
        <v>0</v>
      </c>
      <c r="X62" s="56" t="str">
        <f>'SA Apr 2019'!BM40</f>
        <v>n</v>
      </c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</row>
    <row r="63" spans="1:53" x14ac:dyDescent="0.15">
      <c r="A63" s="70" t="str">
        <f>'SA Apr 2019'!K41</f>
        <v>Lumo Energy</v>
      </c>
      <c r="B63" s="49" t="str">
        <f>'SA Apr 2019'!L41</f>
        <v>Value</v>
      </c>
      <c r="C63" s="46">
        <f>IF('SA Apr 2019'!BP41=0,91*'SA Apr 2019'!M41/100,(91*'SA Apr 2019'!M41/100)+'SA Apr 2019'!BP41/4)</f>
        <v>77.349999999999994</v>
      </c>
      <c r="D63" s="46">
        <f>IF('SA Apr 2019'!O41="",$C$52*$C$53*'SA Apr 2019'!N41/100,IF($C$52*$C$53&gt;='SA Apr 2019'!P41,('SA Apr 2019'!P41*'SA Apr 2019'!N41/100),($C$52*$C$53*'SA Apr 2019'!N41/100)))</f>
        <v>1281</v>
      </c>
      <c r="E63" s="46">
        <f>IF(AND('SA Apr 2019'!P41&gt;0,'SA Apr 2019'!R41&gt;0),IF($C$52*$C$53&lt;'SA Apr 2019'!P41,0,IF($C$52*$C$53&lt;=('SA Apr 2019'!R41+'SA Apr 2019'!P41),(($C$52*$C$53-'SA Apr 2019'!P41)*'SA Apr 2019'!Q41/100),(('SA Apr 2019'!R41)*'SA Apr 2019'!Q41/100))),0)</f>
        <v>0</v>
      </c>
      <c r="F63" s="46">
        <f>IF(AND('SA Apr 2019'!Q25&gt;0,'SA Apr 2019'!S25&gt;0),IF($C$52*$C$53&lt;('SA Apr 2019'!R25+'SA Apr 2019'!P25),0,IF($C$52*$C$53&lt;=('SA Apr 2019'!T25+'SA Apr 2019'!R25+'SA Apr 2019'!P25),(($C$52*$C$53-('SA Apr 2019'!R25+'SA Apr 2019'!P25))*'SA Apr 2019'!S25/100),('SA Apr 2019'!T25*'SA Apr 2019'!S25/100))),0)</f>
        <v>0</v>
      </c>
      <c r="G63" s="50">
        <f>IF(AND('SA Apr 2019'!R41&gt;0,'SA Apr 2019'!T41&gt;0),IF(($C$52*$C$53&lt;'SA Apr 2019'!T41),(0),($C$52*$C$53-'SA Apr 2019'!T41)*'SA Apr 2019'!U41/100),IF(AND('SA Apr 2019'!R41&gt;0,'SA Apr 2019'!T41=""),IF(($C$52*$C$53&lt;'SA Apr 2019'!R41+'SA Apr 2019'!P41),(0),(($C$52*$C$53-('SA Apr 2019'!R41+'SA Apr 2019'!P41))*'SA Apr 2019'!S41/100)),IF(AND('SA Apr 2019'!P41&gt;0,'SA Apr 2019'!R41=""&gt;0),IF(($C$52*$C$53&lt;'SA Apr 2019'!P41),(0),($C$52*$C$53-'SA Apr 2019'!P41)*'SA Apr 2019'!Q41/100),0)))</f>
        <v>0</v>
      </c>
      <c r="H63" s="51">
        <f>($C$52*$C$54)*'SA Apr 2019'!W41/100</f>
        <v>412.77</v>
      </c>
      <c r="I63" s="52">
        <f t="shared" si="25"/>
        <v>1771.12</v>
      </c>
      <c r="J63" s="102">
        <f t="shared" si="26"/>
        <v>6775.08</v>
      </c>
      <c r="K63" s="103">
        <f t="shared" si="27"/>
        <v>7084.48</v>
      </c>
      <c r="L63" s="53">
        <f t="shared" si="28"/>
        <v>7792.9279999999999</v>
      </c>
      <c r="M63" s="54">
        <f>'SA Apr 2019'!BB41</f>
        <v>0</v>
      </c>
      <c r="N63" s="54">
        <f>'SA Apr 2019'!BC41</f>
        <v>0</v>
      </c>
      <c r="O63" s="54">
        <f>'SA Apr 2019'!BD41</f>
        <v>3</v>
      </c>
      <c r="P63" s="54">
        <f>'SA Apr 2019'!BE41</f>
        <v>0</v>
      </c>
      <c r="Q63" s="54" t="str">
        <f t="shared" si="34"/>
        <v>Pay-on-time off bill</v>
      </c>
      <c r="R63" s="54" t="s">
        <v>543</v>
      </c>
      <c r="S63" s="102">
        <f t="shared" si="30"/>
        <v>7084.48</v>
      </c>
      <c r="T63" s="103">
        <f t="shared" si="31"/>
        <v>6871.9456</v>
      </c>
      <c r="U63" s="53">
        <f t="shared" si="32"/>
        <v>7792.9279999999999</v>
      </c>
      <c r="V63" s="53">
        <f t="shared" si="33"/>
        <v>7559.1401600000008</v>
      </c>
      <c r="W63" s="55">
        <f>'SA Apr 2019'!BL41</f>
        <v>0</v>
      </c>
      <c r="X63" s="56" t="str">
        <f>'SA Apr 2019'!BM41</f>
        <v>n</v>
      </c>
    </row>
    <row r="64" spans="1:53" x14ac:dyDescent="0.15">
      <c r="A64" s="70" t="str">
        <f>'SA Apr 2019'!K42</f>
        <v>Momentum Energy</v>
      </c>
      <c r="B64" s="49" t="str">
        <f>'SA Apr 2019'!L42</f>
        <v>SmilePower Flexi</v>
      </c>
      <c r="C64" s="46">
        <f>IF('SA Apr 2019'!BP42=0,91*'SA Apr 2019'!M42/100,(91*'SA Apr 2019'!M42/100)+'SA Apr 2019'!BP42/4)</f>
        <v>92.082899999999995</v>
      </c>
      <c r="D64" s="46">
        <f>IF('SA Apr 2019'!O42="",$C$52*$C$53*'SA Apr 2019'!N42/100,IF($C$52*$C$53&gt;='SA Apr 2019'!P42,('SA Apr 2019'!P42*'SA Apr 2019'!N42/100),($C$52*$C$53*'SA Apr 2019'!N42/100)))</f>
        <v>433.8</v>
      </c>
      <c r="E64" s="46">
        <f>IF(AND('SA Apr 2019'!P42&gt;0,'SA Apr 2019'!R42&gt;0),IF($C$52*$C$53&lt;'SA Apr 2019'!P42,0,IF($C$52*$C$53&lt;=('SA Apr 2019'!R42+'SA Apr 2019'!P42),(($C$52*$C$53-'SA Apr 2019'!P42)*'SA Apr 2019'!Q42/100),(('SA Apr 2019'!R42)*'SA Apr 2019'!Q42/100))),0)</f>
        <v>0</v>
      </c>
      <c r="F64" s="46">
        <f>IF(AND('SA Apr 2019'!Q26&gt;0,'SA Apr 2019'!S26&gt;0),IF($C$52*$C$53&lt;('SA Apr 2019'!R26+'SA Apr 2019'!P26),0,IF($C$52*$C$53&lt;=('SA Apr 2019'!T26+'SA Apr 2019'!R26+'SA Apr 2019'!P26),(($C$52*$C$53-('SA Apr 2019'!R26+'SA Apr 2019'!P26))*'SA Apr 2019'!S26/100),('SA Apr 2019'!T26*'SA Apr 2019'!S26/100))),0)</f>
        <v>0</v>
      </c>
      <c r="G64" s="50">
        <f>IF(AND('SA Apr 2019'!R42&gt;0,'SA Apr 2019'!T42&gt;0),IF(($C$52*$C$53&lt;'SA Apr 2019'!T42),(0),($C$52*$C$53-'SA Apr 2019'!T42)*'SA Apr 2019'!U42/100),IF(AND('SA Apr 2019'!R42&gt;0,'SA Apr 2019'!T42=""),IF(($C$52*$C$53&lt;'SA Apr 2019'!R42+'SA Apr 2019'!P42),(0),(($C$52*$C$53-('SA Apr 2019'!R42+'SA Apr 2019'!P42))*'SA Apr 2019'!S42/100)),IF(AND('SA Apr 2019'!P42&gt;0,'SA Apr 2019'!R42=""&gt;0),IF(($C$52*$C$53&lt;'SA Apr 2019'!P42),(0),($C$52*$C$53-'SA Apr 2019'!P42)*'SA Apr 2019'!Q42/100),0)))</f>
        <v>831.45</v>
      </c>
      <c r="H64" s="51">
        <f>($C$52*$C$54)*'SA Apr 2019'!W42/100</f>
        <v>323.25</v>
      </c>
      <c r="I64" s="52">
        <f t="shared" si="25"/>
        <v>1680.5829000000001</v>
      </c>
      <c r="J64" s="102">
        <f t="shared" si="26"/>
        <v>6354</v>
      </c>
      <c r="K64" s="103">
        <f t="shared" si="27"/>
        <v>6722.3316000000004</v>
      </c>
      <c r="L64" s="53">
        <f t="shared" si="28"/>
        <v>7394.5647600000011</v>
      </c>
      <c r="M64" s="54">
        <f>'SA Apr 2019'!BB42</f>
        <v>0</v>
      </c>
      <c r="N64" s="54">
        <f>'SA Apr 2019'!BC42</f>
        <v>0</v>
      </c>
      <c r="O64" s="54">
        <f>'SA Apr 2019'!BD42</f>
        <v>0</v>
      </c>
      <c r="P64" s="54">
        <f>'SA Apr 2019'!BE42</f>
        <v>0</v>
      </c>
      <c r="Q64" s="54" t="str">
        <f t="shared" si="34"/>
        <v>No discount</v>
      </c>
      <c r="R64" s="54" t="s">
        <v>543</v>
      </c>
      <c r="S64" s="102">
        <f t="shared" si="30"/>
        <v>6722.3316000000004</v>
      </c>
      <c r="T64" s="103">
        <f t="shared" si="31"/>
        <v>6722.3316000000004</v>
      </c>
      <c r="U64" s="53">
        <f t="shared" si="32"/>
        <v>7394.5647600000011</v>
      </c>
      <c r="V64" s="53">
        <f t="shared" si="33"/>
        <v>7394.5647600000011</v>
      </c>
      <c r="W64" s="55">
        <f>'SA Apr 2019'!BL42</f>
        <v>0</v>
      </c>
      <c r="X64" s="56" t="str">
        <f>'SA Apr 2019'!BM42</f>
        <v>n</v>
      </c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</row>
    <row r="65" spans="1:52" x14ac:dyDescent="0.15">
      <c r="A65" s="70" t="str">
        <f>'SA Apr 2019'!K43</f>
        <v>Origin Energy</v>
      </c>
      <c r="B65" s="49" t="str">
        <f>'SA Apr 2019'!L43</f>
        <v>Business Saver</v>
      </c>
      <c r="C65" s="46">
        <f>IF('SA Apr 2019'!BP43=0,91*'SA Apr 2019'!M43/100,(91*'SA Apr 2019'!M43/100)+'SA Apr 2019'!BP43/4)</f>
        <v>81.608800000000016</v>
      </c>
      <c r="D65" s="46">
        <f>IF('SA Apr 2019'!O43="",$C$52*$C$53*'SA Apr 2019'!N43/100,IF($C$52*$C$53&gt;='SA Apr 2019'!P43,('SA Apr 2019'!P43*'SA Apr 2019'!N43/100),($C$52*$C$53*'SA Apr 2019'!N43/100)))</f>
        <v>1472.1</v>
      </c>
      <c r="E65" s="46">
        <f>IF(AND('SA Apr 2019'!P43&gt;0,'SA Apr 2019'!R43&gt;0),IF($C$52*$C$53&lt;'SA Apr 2019'!P43,0,IF($C$52*$C$53&lt;=('SA Apr 2019'!R43+'SA Apr 2019'!P43),(($C$52*$C$53-'SA Apr 2019'!P43)*'SA Apr 2019'!Q43/100),(('SA Apr 2019'!R43)*'SA Apr 2019'!Q43/100))),0)</f>
        <v>0</v>
      </c>
      <c r="F65" s="46">
        <f>IF(AND('SA Apr 2019'!Q27&gt;0,'SA Apr 2019'!S27&gt;0),IF($C$52*$C$53&lt;('SA Apr 2019'!R27+'SA Apr 2019'!P27),0,IF($C$52*$C$53&lt;=('SA Apr 2019'!T27+'SA Apr 2019'!R27+'SA Apr 2019'!P27),(($C$52*$C$53-('SA Apr 2019'!R27+'SA Apr 2019'!P27))*'SA Apr 2019'!S27/100),('SA Apr 2019'!T27*'SA Apr 2019'!S27/100))),0)</f>
        <v>0</v>
      </c>
      <c r="G65" s="50">
        <f>IF(AND('SA Apr 2019'!R43&gt;0,'SA Apr 2019'!T43&gt;0),IF(($C$52*$C$53&lt;'SA Apr 2019'!T43),(0),($C$52*$C$53-'SA Apr 2019'!T43)*'SA Apr 2019'!U43/100),IF(AND('SA Apr 2019'!R43&gt;0,'SA Apr 2019'!T43=""),IF(($C$52*$C$53&lt;'SA Apr 2019'!R43+'SA Apr 2019'!P43),(0),(($C$52*$C$53-('SA Apr 2019'!R43+'SA Apr 2019'!P43))*'SA Apr 2019'!S43/100)),IF(AND('SA Apr 2019'!P43&gt;0,'SA Apr 2019'!R43=""&gt;0),IF(($C$52*$C$53&lt;'SA Apr 2019'!P43),(0),($C$52*$C$53-'SA Apr 2019'!P43)*'SA Apr 2019'!Q43/100),0)))</f>
        <v>0</v>
      </c>
      <c r="H65" s="51">
        <f>($C$52*$C$54)*'SA Apr 2019'!W43/100</f>
        <v>409.65</v>
      </c>
      <c r="I65" s="52">
        <f t="shared" si="25"/>
        <v>1963.3588</v>
      </c>
      <c r="J65" s="102">
        <f t="shared" si="26"/>
        <v>7527</v>
      </c>
      <c r="K65" s="103">
        <f t="shared" si="27"/>
        <v>7853.4351999999999</v>
      </c>
      <c r="L65" s="53">
        <f t="shared" si="28"/>
        <v>8638.7787200000002</v>
      </c>
      <c r="M65" s="54">
        <f>'SA Apr 2019'!BB43</f>
        <v>0</v>
      </c>
      <c r="N65" s="54">
        <f>'SA Apr 2019'!BC43</f>
        <v>16</v>
      </c>
      <c r="O65" s="54">
        <f>'SA Apr 2019'!BD43</f>
        <v>0</v>
      </c>
      <c r="P65" s="54">
        <f>'SA Apr 2019'!BE43</f>
        <v>0</v>
      </c>
      <c r="Q65" s="54" t="str">
        <f t="shared" si="34"/>
        <v>Guaranteed off usage</v>
      </c>
      <c r="R65" s="54" t="s">
        <v>543</v>
      </c>
      <c r="S65" s="102">
        <f t="shared" si="30"/>
        <v>6649.1152000000002</v>
      </c>
      <c r="T65" s="103">
        <f t="shared" si="31"/>
        <v>6649.1152000000002</v>
      </c>
      <c r="U65" s="53">
        <f t="shared" si="32"/>
        <v>7314.0267200000008</v>
      </c>
      <c r="V65" s="53">
        <f t="shared" si="33"/>
        <v>7314.0267200000008</v>
      </c>
      <c r="W65" s="55">
        <f>'SA Apr 2019'!BL43</f>
        <v>12</v>
      </c>
      <c r="X65" s="56" t="str">
        <f>'SA Apr 2019'!BM43</f>
        <v>y</v>
      </c>
      <c r="Z65" s="80"/>
      <c r="AB65" s="80"/>
      <c r="AD65" s="80"/>
      <c r="AF65" s="80"/>
      <c r="AH65" s="80"/>
      <c r="AJ65" s="80"/>
      <c r="AL65" s="80"/>
      <c r="AN65" s="80"/>
      <c r="AP65" s="80"/>
      <c r="AR65" s="80"/>
      <c r="AT65" s="80"/>
      <c r="AV65" s="80"/>
      <c r="AX65" s="80"/>
      <c r="AZ65" s="80"/>
    </row>
    <row r="66" spans="1:52" x14ac:dyDescent="0.15">
      <c r="A66" s="70" t="str">
        <f>'SA Apr 2019'!K44</f>
        <v>Powerdirect</v>
      </c>
      <c r="B66" s="49" t="str">
        <f>'SA Apr 2019'!L44</f>
        <v>Market offer</v>
      </c>
      <c r="C66" s="46">
        <f>IF('SA Apr 2019'!BP44=0,91*'SA Apr 2019'!M44/100,(91*'SA Apr 2019'!M44/100)+'SA Apr 2019'!BP44/4)</f>
        <v>82.81</v>
      </c>
      <c r="D66" s="46">
        <f>IF('SA Apr 2019'!O44="",$C$52*$C$53*'SA Apr 2019'!N44/100,IF($C$52*$C$53&gt;='SA Apr 2019'!P44,('SA Apr 2019'!P44*'SA Apr 2019'!N44/100),($C$52*$C$53*'SA Apr 2019'!N44/100)))</f>
        <v>1501.5</v>
      </c>
      <c r="E66" s="46">
        <f>IF(AND('SA Apr 2019'!P44&gt;0,'SA Apr 2019'!R44&gt;0),IF($C$52*$C$53&lt;'SA Apr 2019'!P44,0,IF($C$52*$C$53&lt;=('SA Apr 2019'!R44+'SA Apr 2019'!P44),(($C$52*$C$53-'SA Apr 2019'!P44)*'SA Apr 2019'!Q44/100),(('SA Apr 2019'!R44)*'SA Apr 2019'!Q44/100))),0)</f>
        <v>0</v>
      </c>
      <c r="F66" s="46">
        <f>IF(AND('SA Apr 2019'!Q28&gt;0,'SA Apr 2019'!S28&gt;0),IF($C$52*$C$53&lt;('SA Apr 2019'!R28+'SA Apr 2019'!P28),0,IF($C$52*$C$53&lt;=('SA Apr 2019'!T28+'SA Apr 2019'!R28+'SA Apr 2019'!P28),(($C$52*$C$53-('SA Apr 2019'!R28+'SA Apr 2019'!P28))*'SA Apr 2019'!S28/100),('SA Apr 2019'!T28*'SA Apr 2019'!S28/100))),0)</f>
        <v>0</v>
      </c>
      <c r="G66" s="50">
        <f>IF(AND('SA Apr 2019'!R44&gt;0,'SA Apr 2019'!T44&gt;0),IF(($C$52*$C$53&lt;'SA Apr 2019'!T44),(0),($C$52*$C$53-'SA Apr 2019'!T44)*'SA Apr 2019'!U44/100),IF(AND('SA Apr 2019'!R44&gt;0,'SA Apr 2019'!T44=""),IF(($C$52*$C$53&lt;'SA Apr 2019'!R44+'SA Apr 2019'!P44),(0),(($C$52*$C$53-('SA Apr 2019'!R44+'SA Apr 2019'!P44))*'SA Apr 2019'!S44/100)),IF(AND('SA Apr 2019'!P44&gt;0,'SA Apr 2019'!R44=""&gt;0),IF(($C$52*$C$53&lt;'SA Apr 2019'!P44),(0),($C$52*$C$53-'SA Apr 2019'!P44)*'SA Apr 2019'!Q44/100),0)))</f>
        <v>0</v>
      </c>
      <c r="H66" s="51">
        <f>($C$52*$C$54)*'SA Apr 2019'!W44/100</f>
        <v>418.5</v>
      </c>
      <c r="I66" s="52">
        <f t="shared" si="25"/>
        <v>2002.81</v>
      </c>
      <c r="J66" s="102">
        <f t="shared" si="26"/>
        <v>7680</v>
      </c>
      <c r="K66" s="103">
        <f t="shared" si="27"/>
        <v>8011.24</v>
      </c>
      <c r="L66" s="53">
        <f t="shared" si="28"/>
        <v>8812.3639999999996</v>
      </c>
      <c r="M66" s="54">
        <f>'SA Apr 2019'!BB44</f>
        <v>0</v>
      </c>
      <c r="N66" s="54">
        <f>'SA Apr 2019'!BC44</f>
        <v>16</v>
      </c>
      <c r="O66" s="54">
        <f>'SA Apr 2019'!BD44</f>
        <v>0</v>
      </c>
      <c r="P66" s="54">
        <f>'SA Apr 2019'!BE44</f>
        <v>0</v>
      </c>
      <c r="Q66" s="54" t="str">
        <f t="shared" si="34"/>
        <v>Guaranteed off usage</v>
      </c>
      <c r="R66" s="54" t="s">
        <v>543</v>
      </c>
      <c r="S66" s="102">
        <f t="shared" si="30"/>
        <v>6782.44</v>
      </c>
      <c r="T66" s="103">
        <f t="shared" si="31"/>
        <v>6782.44</v>
      </c>
      <c r="U66" s="53">
        <f t="shared" si="32"/>
        <v>7460.6840000000002</v>
      </c>
      <c r="V66" s="53">
        <f t="shared" si="33"/>
        <v>7460.6840000000002</v>
      </c>
      <c r="W66" s="55">
        <f>'SA Apr 2019'!BL44</f>
        <v>0</v>
      </c>
      <c r="X66" s="56" t="str">
        <f>'SA Apr 2019'!BM44</f>
        <v>n</v>
      </c>
      <c r="Z66" s="80"/>
      <c r="AB66" s="80"/>
      <c r="AD66" s="80"/>
      <c r="AF66" s="80"/>
      <c r="AH66" s="80"/>
      <c r="AJ66" s="80"/>
      <c r="AL66" s="80"/>
      <c r="AN66" s="80"/>
      <c r="AP66" s="80"/>
      <c r="AR66" s="80"/>
      <c r="AT66" s="80"/>
      <c r="AV66" s="80"/>
      <c r="AX66" s="80"/>
      <c r="AZ66" s="80"/>
    </row>
    <row r="67" spans="1:52" x14ac:dyDescent="0.15">
      <c r="A67" s="70" t="str">
        <f>'SA Apr 2019'!K45</f>
        <v>Red Energy</v>
      </c>
      <c r="B67" s="49" t="str">
        <f>'SA Apr 2019'!L45</f>
        <v>No exit fee saver</v>
      </c>
      <c r="C67" s="46">
        <f>IF('SA Apr 2019'!BP45=0,91*'SA Apr 2019'!M45/100,(91*'SA Apr 2019'!M45/100)+'SA Apr 2019'!BP45/4)</f>
        <v>91.454999999999998</v>
      </c>
      <c r="D67" s="46">
        <f>IF('SA Apr 2019'!O45="",$C$52*$C$53*'SA Apr 2019'!N45/100,IF($C$52*$C$53&gt;='SA Apr 2019'!P45,('SA Apr 2019'!P45*'SA Apr 2019'!N45/100),($C$52*$C$53*'SA Apr 2019'!N45/100)))</f>
        <v>1561</v>
      </c>
      <c r="E67" s="46">
        <f>IF(AND('SA Apr 2019'!P45&gt;0,'SA Apr 2019'!R45&gt;0),IF($C$52*$C$53&lt;'SA Apr 2019'!P45,0,IF($C$52*$C$53&lt;=('SA Apr 2019'!R45+'SA Apr 2019'!P45),(($C$52*$C$53-'SA Apr 2019'!P45)*'SA Apr 2019'!Q45/100),(('SA Apr 2019'!R45)*'SA Apr 2019'!Q45/100))),0)</f>
        <v>0</v>
      </c>
      <c r="F67" s="46">
        <f>IF(AND('SA Apr 2019'!Q29&gt;0,'SA Apr 2019'!S29&gt;0),IF($C$52*$C$53&lt;('SA Apr 2019'!R29+'SA Apr 2019'!P29),0,IF($C$52*$C$53&lt;=('SA Apr 2019'!T29+'SA Apr 2019'!R29+'SA Apr 2019'!P29),(($C$52*$C$53-('SA Apr 2019'!R29+'SA Apr 2019'!P29))*'SA Apr 2019'!S29/100),('SA Apr 2019'!T29*'SA Apr 2019'!S29/100))),0)</f>
        <v>0</v>
      </c>
      <c r="G67" s="50">
        <f>IF(AND('SA Apr 2019'!R45&gt;0,'SA Apr 2019'!T45&gt;0),IF(($C$52*$C$53&lt;'SA Apr 2019'!T45),(0),($C$52*$C$53-'SA Apr 2019'!T45)*'SA Apr 2019'!U45/100),IF(AND('SA Apr 2019'!R45&gt;0,'SA Apr 2019'!T45=""),IF(($C$52*$C$53&lt;'SA Apr 2019'!R45+'SA Apr 2019'!P45),(0),(($C$52*$C$53-('SA Apr 2019'!R45+'SA Apr 2019'!P45))*'SA Apr 2019'!S45/100)),IF(AND('SA Apr 2019'!P45&gt;0,'SA Apr 2019'!R45=""&gt;0),IF(($C$52*$C$53&lt;'SA Apr 2019'!P45),(0),($C$52*$C$53-'SA Apr 2019'!P45)*'SA Apr 2019'!Q45/100),0)))</f>
        <v>0</v>
      </c>
      <c r="H67" s="51">
        <f>($C$52*$C$54)*'SA Apr 2019'!W45/100</f>
        <v>492.75</v>
      </c>
      <c r="I67" s="52">
        <f t="shared" si="25"/>
        <v>2145.2049999999999</v>
      </c>
      <c r="J67" s="102">
        <f t="shared" si="26"/>
        <v>8215</v>
      </c>
      <c r="K67" s="103">
        <f t="shared" si="27"/>
        <v>8580.82</v>
      </c>
      <c r="L67" s="53">
        <f t="shared" si="28"/>
        <v>9438.902</v>
      </c>
      <c r="M67" s="54">
        <f>'SA Apr 2019'!BB45</f>
        <v>0</v>
      </c>
      <c r="N67" s="54">
        <f>'SA Apr 2019'!BC45</f>
        <v>0</v>
      </c>
      <c r="O67" s="54">
        <f>'SA Apr 2019'!BD45</f>
        <v>10</v>
      </c>
      <c r="P67" s="54">
        <f>'SA Apr 2019'!BE45</f>
        <v>0</v>
      </c>
      <c r="Q67" s="54" t="str">
        <f t="shared" si="34"/>
        <v>Pay-on-time off bill</v>
      </c>
      <c r="R67" s="54" t="s">
        <v>543</v>
      </c>
      <c r="S67" s="102">
        <f t="shared" si="30"/>
        <v>8580.82</v>
      </c>
      <c r="T67" s="103">
        <f t="shared" si="31"/>
        <v>7722.7379999999994</v>
      </c>
      <c r="U67" s="53">
        <f t="shared" si="32"/>
        <v>9438.902</v>
      </c>
      <c r="V67" s="53">
        <f t="shared" si="33"/>
        <v>8495.0118000000002</v>
      </c>
      <c r="W67" s="55">
        <f>'SA Apr 2019'!BL45</f>
        <v>0</v>
      </c>
      <c r="X67" s="56" t="str">
        <f>'SA Apr 2019'!BM45</f>
        <v>n</v>
      </c>
      <c r="Z67" s="80"/>
      <c r="AB67" s="80"/>
      <c r="AD67" s="80"/>
      <c r="AF67" s="80"/>
      <c r="AH67" s="80"/>
      <c r="AJ67" s="80"/>
      <c r="AL67" s="80"/>
      <c r="AN67" s="80"/>
      <c r="AP67" s="80"/>
      <c r="AR67" s="80"/>
      <c r="AT67" s="80"/>
      <c r="AV67" s="80"/>
      <c r="AX67" s="80"/>
      <c r="AZ67" s="80"/>
    </row>
    <row r="68" spans="1:52" x14ac:dyDescent="0.15">
      <c r="A68" s="70" t="str">
        <f>'SA Apr 2019'!K46</f>
        <v>Simply Energy</v>
      </c>
      <c r="B68" s="49" t="str">
        <f>'SA Apr 2019'!L46</f>
        <v>Business Plus</v>
      </c>
      <c r="C68" s="46">
        <f>IF('SA Apr 2019'!BP46=0,91*'SA Apr 2019'!M46/100,(91*'SA Apr 2019'!M46/100)+'SA Apr 2019'!BP46/4)</f>
        <v>91.418599999999984</v>
      </c>
      <c r="D68" s="46">
        <f>IF('SA Apr 2019'!O46="",$C$52*$C$53*'SA Apr 2019'!N46/100,IF($C$52*$C$53&gt;='SA Apr 2019'!P46,('SA Apr 2019'!P46*'SA Apr 2019'!N46/100),($C$52*$C$53*'SA Apr 2019'!N46/100)))</f>
        <v>1704.5</v>
      </c>
      <c r="E68" s="46">
        <f>IF(AND('SA Apr 2019'!P46&gt;0,'SA Apr 2019'!R46&gt;0),IF($C$52*$C$53&lt;'SA Apr 2019'!P46,0,IF($C$52*$C$53&lt;=('SA Apr 2019'!R46+'SA Apr 2019'!P46),(($C$52*$C$53-'SA Apr 2019'!P46)*'SA Apr 2019'!Q46/100),(('SA Apr 2019'!R46)*'SA Apr 2019'!Q46/100))),0)</f>
        <v>0</v>
      </c>
      <c r="F68" s="46">
        <f>IF(AND('SA Apr 2019'!Q30&gt;0,'SA Apr 2019'!S30&gt;0),IF($C$52*$C$53&lt;('SA Apr 2019'!R30+'SA Apr 2019'!P30),0,IF($C$52*$C$53&lt;=('SA Apr 2019'!T30+'SA Apr 2019'!R30+'SA Apr 2019'!P30),(($C$52*$C$53-('SA Apr 2019'!R30+'SA Apr 2019'!P30))*'SA Apr 2019'!S30/100),('SA Apr 2019'!T30*'SA Apr 2019'!S30/100))),0)</f>
        <v>0</v>
      </c>
      <c r="G68" s="50">
        <f>IF(AND('SA Apr 2019'!R46&gt;0,'SA Apr 2019'!T46&gt;0),IF(($C$52*$C$53&lt;'SA Apr 2019'!T46),(0),($C$52*$C$53-'SA Apr 2019'!T46)*'SA Apr 2019'!U46/100),IF(AND('SA Apr 2019'!R46&gt;0,'SA Apr 2019'!T46=""),IF(($C$52*$C$53&lt;'SA Apr 2019'!R46+'SA Apr 2019'!P46),(0),(($C$52*$C$53-('SA Apr 2019'!R46+'SA Apr 2019'!P46))*'SA Apr 2019'!S46/100)),IF(AND('SA Apr 2019'!P46&gt;0,'SA Apr 2019'!R46=""&gt;0),IF(($C$52*$C$53&lt;'SA Apr 2019'!P46),(0),($C$52*$C$53-'SA Apr 2019'!P46)*'SA Apr 2019'!Q46/100),0)))</f>
        <v>0</v>
      </c>
      <c r="H68" s="51">
        <f>($C$52*$C$54)*'SA Apr 2019'!W46/100</f>
        <v>422.25</v>
      </c>
      <c r="I68" s="52">
        <f t="shared" si="25"/>
        <v>2218.1686</v>
      </c>
      <c r="J68" s="102">
        <f t="shared" si="26"/>
        <v>8507</v>
      </c>
      <c r="K68" s="103">
        <f t="shared" si="27"/>
        <v>8872.6743999999999</v>
      </c>
      <c r="L68" s="53">
        <f t="shared" si="28"/>
        <v>9759.9418400000013</v>
      </c>
      <c r="M68" s="54">
        <f>'SA Apr 2019'!BB46</f>
        <v>0</v>
      </c>
      <c r="N68" s="54">
        <f>'SA Apr 2019'!BC46</f>
        <v>20</v>
      </c>
      <c r="O68" s="54">
        <f>'SA Apr 2019'!BD46</f>
        <v>0</v>
      </c>
      <c r="P68" s="54">
        <f>'SA Apr 2019'!BE46</f>
        <v>0</v>
      </c>
      <c r="Q68" s="54" t="str">
        <f t="shared" si="34"/>
        <v>Guaranteed off usage</v>
      </c>
      <c r="R68" s="54" t="s">
        <v>543</v>
      </c>
      <c r="S68" s="102">
        <f t="shared" si="30"/>
        <v>7171.2744000000002</v>
      </c>
      <c r="T68" s="103">
        <f t="shared" si="31"/>
        <v>7171.2744000000002</v>
      </c>
      <c r="U68" s="53">
        <f t="shared" si="32"/>
        <v>7888.4018400000014</v>
      </c>
      <c r="V68" s="53">
        <f t="shared" si="33"/>
        <v>7888.4018400000014</v>
      </c>
      <c r="W68" s="55">
        <f>'SA Apr 2019'!BL46</f>
        <v>0</v>
      </c>
      <c r="X68" s="56" t="str">
        <f>'SA Apr 2019'!BM46</f>
        <v>n</v>
      </c>
      <c r="Z68" s="80"/>
      <c r="AB68" s="80"/>
      <c r="AD68" s="80"/>
      <c r="AF68" s="80"/>
      <c r="AH68" s="80"/>
      <c r="AJ68" s="80"/>
      <c r="AL68" s="80"/>
      <c r="AN68" s="80"/>
      <c r="AP68" s="80"/>
      <c r="AR68" s="80"/>
      <c r="AT68" s="80"/>
      <c r="AV68" s="80"/>
      <c r="AX68" s="80"/>
      <c r="AZ68" s="80"/>
    </row>
    <row r="69" spans="1:52" x14ac:dyDescent="0.15">
      <c r="A69" s="70" t="str">
        <f>'SA Apr 2019'!K47</f>
        <v>Powershop</v>
      </c>
      <c r="B69" s="49" t="str">
        <f>'SA Apr 2019'!L47</f>
        <v>Autopay with Power Saver</v>
      </c>
      <c r="C69" s="46">
        <f>IF('SA Apr 2019'!BP47=0,91*'SA Apr 2019'!M47/100,(91*'SA Apr 2019'!M47/100)+'SA Apr 2019'!BP47/4)</f>
        <v>100.71880000000002</v>
      </c>
      <c r="D69" s="46">
        <f>IF('SA Apr 2019'!O47="",$C$52*$C$53*'SA Apr 2019'!N47/100,IF($C$52*$C$53&gt;='SA Apr 2019'!P47,('SA Apr 2019'!P47*'SA Apr 2019'!N47/100),($C$52*$C$53*'SA Apr 2019'!N47/100)))</f>
        <v>1330.7</v>
      </c>
      <c r="E69" s="46">
        <f>IF(AND('SA Apr 2019'!P47&gt;0,'SA Apr 2019'!R47&gt;0),IF($C$52*$C$53&lt;'SA Apr 2019'!P47,0,IF($C$52*$C$53&lt;=('SA Apr 2019'!R47+'SA Apr 2019'!P47),(($C$52*$C$53-'SA Apr 2019'!P47)*'SA Apr 2019'!Q47/100),(('SA Apr 2019'!R47)*'SA Apr 2019'!Q47/100))),0)</f>
        <v>0</v>
      </c>
      <c r="F69" s="46">
        <f>IF(AND('SA Apr 2019'!Q31&gt;0,'SA Apr 2019'!S31&gt;0),IF($C$52*$C$53&lt;('SA Apr 2019'!R31+'SA Apr 2019'!P31),0,IF($C$52*$C$53&lt;=('SA Apr 2019'!T31+'SA Apr 2019'!R31+'SA Apr 2019'!P31),(($C$52*$C$53-('SA Apr 2019'!R31+'SA Apr 2019'!P31))*'SA Apr 2019'!S31/100),('SA Apr 2019'!T31*'SA Apr 2019'!S31/100))),0)</f>
        <v>0</v>
      </c>
      <c r="G69" s="50">
        <f>IF(AND('SA Apr 2019'!R47&gt;0,'SA Apr 2019'!T47&gt;0),IF(($C$52*$C$53&lt;'SA Apr 2019'!T47),(0),($C$52*$C$53-'SA Apr 2019'!T47)*'SA Apr 2019'!U47/100),IF(AND('SA Apr 2019'!R47&gt;0,'SA Apr 2019'!T47=""),IF(($C$52*$C$53&lt;'SA Apr 2019'!R47+'SA Apr 2019'!P47),(0),(($C$52*$C$53-('SA Apr 2019'!R47+'SA Apr 2019'!P47))*'SA Apr 2019'!S47/100)),IF(AND('SA Apr 2019'!P47&gt;0,'SA Apr 2019'!R47=""&gt;0),IF(($C$52*$C$53&lt;'SA Apr 2019'!P47),(0),($C$52*$C$53-'SA Apr 2019'!P47)*'SA Apr 2019'!Q47/100),0)))</f>
        <v>0</v>
      </c>
      <c r="H69" s="51">
        <f>($C$52*$C$54)*'SA Apr 2019'!W47/100</f>
        <v>420.45</v>
      </c>
      <c r="I69" s="52">
        <f t="shared" si="25"/>
        <v>1851.8688000000002</v>
      </c>
      <c r="J69" s="102">
        <f t="shared" si="26"/>
        <v>7004.6</v>
      </c>
      <c r="K69" s="103">
        <f t="shared" si="27"/>
        <v>7407.4752000000008</v>
      </c>
      <c r="L69" s="53">
        <f t="shared" si="28"/>
        <v>8148.2227200000016</v>
      </c>
      <c r="M69" s="54">
        <f>'SA Apr 2019'!BB47</f>
        <v>0</v>
      </c>
      <c r="N69" s="54">
        <f>'SA Apr 2019'!BC47</f>
        <v>0</v>
      </c>
      <c r="O69" s="54">
        <f>'SA Apr 2019'!BD47</f>
        <v>12</v>
      </c>
      <c r="P69" s="54">
        <f>'SA Apr 2019'!BE47</f>
        <v>0</v>
      </c>
      <c r="Q69" s="54" t="str">
        <f t="shared" si="34"/>
        <v>Pay-on-time off bill</v>
      </c>
      <c r="R69" s="54" t="s">
        <v>543</v>
      </c>
      <c r="S69" s="102">
        <f t="shared" si="30"/>
        <v>7407.4752000000008</v>
      </c>
      <c r="T69" s="103">
        <f t="shared" si="31"/>
        <v>6518.5781760000009</v>
      </c>
      <c r="U69" s="53">
        <f t="shared" si="32"/>
        <v>8148.2227200000016</v>
      </c>
      <c r="V69" s="53">
        <f t="shared" si="33"/>
        <v>7170.4359936000019</v>
      </c>
      <c r="W69" s="55">
        <f>'SA Apr 2019'!BL47</f>
        <v>0</v>
      </c>
      <c r="X69" s="56" t="str">
        <f>'SA Apr 2019'!BM47</f>
        <v>n</v>
      </c>
    </row>
    <row r="70" spans="1:52" x14ac:dyDescent="0.15">
      <c r="A70" s="70" t="str">
        <f>'SA Apr 2019'!K48</f>
        <v>Amaysim</v>
      </c>
      <c r="B70" s="73" t="str">
        <f>'SA Apr 2019'!L48</f>
        <v>Business as you go</v>
      </c>
      <c r="C70" s="46">
        <f>IF('SA Apr 2019'!BP48=0,91*'SA Apr 2019'!M48/100,(91*'SA Apr 2019'!M48/100)+'SA Apr 2019'!BP48/4)</f>
        <v>58.558499999999995</v>
      </c>
      <c r="D70" s="46">
        <f>IF('SA Apr 2019'!O48="",$C$52*$C$53*'SA Apr 2019'!N48/100,IF($C$52*$C$53&gt;='SA Apr 2019'!P48,('SA Apr 2019'!P48*'SA Apr 2019'!N48/100),($C$52*$C$53*'SA Apr 2019'!N48/100)))</f>
        <v>1307.5999999999999</v>
      </c>
      <c r="E70" s="46">
        <f>IF(AND('SA Apr 2019'!P48&gt;0,'SA Apr 2019'!R48&gt;0),IF($C$52*$C$53&lt;'SA Apr 2019'!P48,0,IF($C$52*$C$53&lt;=('SA Apr 2019'!R48+'SA Apr 2019'!P48),(($C$52*$C$53-'SA Apr 2019'!P48)*'SA Apr 2019'!Q48/100),(('SA Apr 2019'!R48)*'SA Apr 2019'!Q48/100))),0)</f>
        <v>0</v>
      </c>
      <c r="F70" s="46">
        <f>IF(AND('SA Apr 2019'!Q32&gt;0,'SA Apr 2019'!S32&gt;0),IF($C$52*$C$53&lt;('SA Apr 2019'!R32+'SA Apr 2019'!P32),0,IF($C$52*$C$53&lt;=('SA Apr 2019'!T32+'SA Apr 2019'!R32+'SA Apr 2019'!P32),(($C$52*$C$53-('SA Apr 2019'!R32+'SA Apr 2019'!P32))*'SA Apr 2019'!S32/100),('SA Apr 2019'!T32*'SA Apr 2019'!S32/100))),0)</f>
        <v>0</v>
      </c>
      <c r="G70" s="50">
        <f>IF(AND('SA Apr 2019'!R48&gt;0,'SA Apr 2019'!T48&gt;0),IF(($C$52*$C$53&lt;'SA Apr 2019'!T48),(0),($C$52*$C$53-'SA Apr 2019'!T48)*'SA Apr 2019'!U48/100),IF(AND('SA Apr 2019'!R48&gt;0,'SA Apr 2019'!T48=""),IF(($C$52*$C$53&lt;'SA Apr 2019'!R48+'SA Apr 2019'!P48),(0),(($C$52*$C$53-('SA Apr 2019'!R48+'SA Apr 2019'!P48))*'SA Apr 2019'!S48/100)),IF(AND('SA Apr 2019'!P48&gt;0,'SA Apr 2019'!R48=""&gt;0),IF(($C$52*$C$53&lt;'SA Apr 2019'!P48),(0),($C$52*$C$53-'SA Apr 2019'!P48)*'SA Apr 2019'!Q48/100),0)))</f>
        <v>0</v>
      </c>
      <c r="H70" s="46">
        <f>($C$52*$C$54)*'SA Apr 2019'!W48/100</f>
        <v>464.4</v>
      </c>
      <c r="I70" s="52">
        <f t="shared" si="25"/>
        <v>1830.5585000000001</v>
      </c>
      <c r="J70" s="102">
        <f t="shared" si="26"/>
        <v>7088</v>
      </c>
      <c r="K70" s="103">
        <f t="shared" si="27"/>
        <v>7322.2340000000004</v>
      </c>
      <c r="L70" s="53">
        <f t="shared" si="28"/>
        <v>8054.4574000000011</v>
      </c>
      <c r="M70" s="54">
        <f>'SA Apr 2019'!BB48</f>
        <v>0</v>
      </c>
      <c r="N70" s="54">
        <f>'SA Apr 2019'!BC48</f>
        <v>0</v>
      </c>
      <c r="O70" s="54">
        <f>'SA Apr 2019'!BD48</f>
        <v>0</v>
      </c>
      <c r="P70" s="54">
        <f>'SA Apr 2019'!BE48</f>
        <v>0</v>
      </c>
      <c r="Q70" s="54" t="str">
        <f t="shared" si="34"/>
        <v>No discount</v>
      </c>
      <c r="R70" s="54" t="s">
        <v>543</v>
      </c>
      <c r="S70" s="102">
        <f t="shared" si="30"/>
        <v>7322.2340000000004</v>
      </c>
      <c r="T70" s="103">
        <f t="shared" si="31"/>
        <v>7322.2340000000004</v>
      </c>
      <c r="U70" s="53">
        <f t="shared" si="32"/>
        <v>8054.4574000000011</v>
      </c>
      <c r="V70" s="53">
        <f t="shared" si="33"/>
        <v>8054.4574000000011</v>
      </c>
      <c r="W70" s="55">
        <f>'SA Apr 2019'!BL48</f>
        <v>0</v>
      </c>
      <c r="X70" s="56" t="str">
        <f>'SA Apr 2019'!BM48</f>
        <v>n</v>
      </c>
    </row>
    <row r="71" spans="1:52" x14ac:dyDescent="0.15">
      <c r="A71" s="70" t="str">
        <f>'SA Apr 2019'!K49</f>
        <v>Next Business Energy</v>
      </c>
      <c r="B71" s="73" t="str">
        <f>'SA Apr 2019'!L49</f>
        <v>Pay on time</v>
      </c>
      <c r="C71" s="46">
        <f>IF('SA Apr 2019'!BP49=0,91*'SA Apr 2019'!M49/100,(91*'SA Apr 2019'!M49/100)+'SA Apr 2019'!BP49/4)</f>
        <v>86.45</v>
      </c>
      <c r="D71" s="46">
        <f>IF('SA Apr 2019'!O49="",$C$52*$C$53*'SA Apr 2019'!N49/100,IF($C$52*$C$53&gt;='SA Apr 2019'!P49,('SA Apr 2019'!P49*'SA Apr 2019'!N49/100),($C$52*$C$53*'SA Apr 2019'!N49/100)))</f>
        <v>1435</v>
      </c>
      <c r="E71" s="46">
        <f>IF(AND('SA Apr 2019'!P49&gt;0,'SA Apr 2019'!R49&gt;0),IF($C$52*$C$53&lt;'SA Apr 2019'!P49,0,IF($C$52*$C$53&lt;=('SA Apr 2019'!R49+'SA Apr 2019'!P49),(($C$52*$C$53-'SA Apr 2019'!P49)*'SA Apr 2019'!Q49/100),(('SA Apr 2019'!R49)*'SA Apr 2019'!Q49/100))),0)</f>
        <v>0</v>
      </c>
      <c r="F71" s="46">
        <f>IF(AND('SA Apr 2019'!Q33&gt;0,'SA Apr 2019'!S33&gt;0),IF($C$52*$C$53&lt;('SA Apr 2019'!R33+'SA Apr 2019'!P33),0,IF($C$52*$C$53&lt;=('SA Apr 2019'!T33+'SA Apr 2019'!R33+'SA Apr 2019'!P33),(($C$52*$C$53-('SA Apr 2019'!R33+'SA Apr 2019'!P33))*'SA Apr 2019'!S33/100),('SA Apr 2019'!T33*'SA Apr 2019'!S33/100))),0)</f>
        <v>0</v>
      </c>
      <c r="G71" s="50">
        <f>IF(AND('SA Apr 2019'!R49&gt;0,'SA Apr 2019'!T49&gt;0),IF(($C$52*$C$53&lt;'SA Apr 2019'!T49),(0),($C$52*$C$53-'SA Apr 2019'!T49)*'SA Apr 2019'!U49/100),IF(AND('SA Apr 2019'!R49&gt;0,'SA Apr 2019'!T49=""),IF(($C$52*$C$53&lt;'SA Apr 2019'!R49+'SA Apr 2019'!P49),(0),(($C$52*$C$53-('SA Apr 2019'!R49+'SA Apr 2019'!P49))*'SA Apr 2019'!S49/100)),IF(AND('SA Apr 2019'!P49&gt;0,'SA Apr 2019'!R49=""&gt;0),IF(($C$52*$C$53&lt;'SA Apr 2019'!P49),(0),($C$52*$C$53-'SA Apr 2019'!P49)*'SA Apr 2019'!Q49/100),0)))</f>
        <v>0</v>
      </c>
      <c r="H71" s="46">
        <f>($C$52*$C$54)*'SA Apr 2019'!W49/100</f>
        <v>480</v>
      </c>
      <c r="I71" s="52">
        <f t="shared" si="25"/>
        <v>2001.45</v>
      </c>
      <c r="J71" s="102">
        <f t="shared" si="26"/>
        <v>7660</v>
      </c>
      <c r="K71" s="103">
        <f t="shared" si="27"/>
        <v>8005.8</v>
      </c>
      <c r="L71" s="53">
        <f t="shared" si="28"/>
        <v>8806.380000000001</v>
      </c>
      <c r="M71" s="54">
        <f>'SA Apr 2019'!BB49</f>
        <v>0</v>
      </c>
      <c r="N71" s="54">
        <f>'SA Apr 2019'!BC49</f>
        <v>0</v>
      </c>
      <c r="O71" s="54">
        <f>'SA Apr 2019'!BD49</f>
        <v>7</v>
      </c>
      <c r="P71" s="54">
        <f>'SA Apr 2019'!BE49</f>
        <v>0</v>
      </c>
      <c r="Q71" s="54" t="str">
        <f t="shared" si="34"/>
        <v>Pay-on-time off bill</v>
      </c>
      <c r="R71" s="54" t="s">
        <v>543</v>
      </c>
      <c r="S71" s="102">
        <f t="shared" si="30"/>
        <v>8005.8</v>
      </c>
      <c r="T71" s="103">
        <f t="shared" si="31"/>
        <v>7445.3940000000002</v>
      </c>
      <c r="U71" s="53">
        <f t="shared" si="32"/>
        <v>8806.380000000001</v>
      </c>
      <c r="V71" s="53">
        <f t="shared" si="33"/>
        <v>8189.9334000000008</v>
      </c>
      <c r="W71" s="55">
        <f>'SA Apr 2019'!BL49</f>
        <v>24</v>
      </c>
      <c r="X71" s="56" t="str">
        <f>'SA Apr 2019'!BM49</f>
        <v>n</v>
      </c>
    </row>
    <row r="72" spans="1:52" ht="15" thickBot="1" x14ac:dyDescent="0.2">
      <c r="A72" s="71" t="str">
        <f>'SA Apr 2019'!K50</f>
        <v>Blue NRG</v>
      </c>
      <c r="B72" s="72" t="str">
        <f>'SA Apr 2019'!L50</f>
        <v>Market offer</v>
      </c>
      <c r="C72" s="58">
        <f>IF('SA Apr 2019'!BP50=0,91*'SA Apr 2019'!M50/100,(91*'SA Apr 2019'!M50/100)+'SA Apr 2019'!BP50/4)</f>
        <v>108.39754545454545</v>
      </c>
      <c r="D72" s="58">
        <f>IF('SA Apr 2019'!O50="",$C$52*$C$53*'SA Apr 2019'!N50/100,IF($C$52*$C$53&gt;='SA Apr 2019'!P50,('SA Apr 2019'!P50*'SA Apr 2019'!N50/100),($C$52*$C$53*'SA Apr 2019'!N50/100)))</f>
        <v>1477.9545454545453</v>
      </c>
      <c r="E72" s="58">
        <f>IF(AND('SA Apr 2019'!P50&gt;0,'SA Apr 2019'!R50&gt;0),IF($C$52*$C$53&lt;'SA Apr 2019'!P50,0,IF($C$52*$C$53&lt;=('SA Apr 2019'!R50+'SA Apr 2019'!P50),(($C$52*$C$53-'SA Apr 2019'!P50)*'SA Apr 2019'!Q50/100),(('SA Apr 2019'!R50)*'SA Apr 2019'!Q50/100))),0)</f>
        <v>0</v>
      </c>
      <c r="F72" s="58">
        <f>IF(AND('SA Apr 2019'!Q34&gt;0,'SA Apr 2019'!S34&gt;0),IF($C$52*$C$53&lt;('SA Apr 2019'!R34+'SA Apr 2019'!P34),0,IF($C$52*$C$53&lt;=('SA Apr 2019'!T34+'SA Apr 2019'!R34+'SA Apr 2019'!P34),(($C$52*$C$53-('SA Apr 2019'!R34+'SA Apr 2019'!P34))*'SA Apr 2019'!S34/100),('SA Apr 2019'!T34*'SA Apr 2019'!S34/100))),0)</f>
        <v>0</v>
      </c>
      <c r="G72" s="59">
        <f>IF(AND('SA Apr 2019'!R50&gt;0,'SA Apr 2019'!T50&gt;0),IF(($C$52*$C$53&lt;'SA Apr 2019'!T50),(0),($C$52*$C$53-'SA Apr 2019'!T50)*'SA Apr 2019'!U50/100),IF(AND('SA Apr 2019'!R50&gt;0,'SA Apr 2019'!T50=""),IF(($C$52*$C$53&lt;'SA Apr 2019'!R50+'SA Apr 2019'!P50),(0),(($C$52*$C$53-('SA Apr 2019'!R50+'SA Apr 2019'!P50))*'SA Apr 2019'!S50/100)),IF(AND('SA Apr 2019'!P50&gt;0,'SA Apr 2019'!R50=""&gt;0),IF(($C$52*$C$53&lt;'SA Apr 2019'!P50),(0),($C$52*$C$53-'SA Apr 2019'!P50)*'SA Apr 2019'!Q50/100),0)))</f>
        <v>0</v>
      </c>
      <c r="H72" s="58">
        <f>($C$52*$C$54)*'SA Apr 2019'!W50/100</f>
        <v>389.85</v>
      </c>
      <c r="I72" s="61">
        <f t="shared" ref="I72" si="35">SUM(C72:H72)</f>
        <v>1976.2020909090907</v>
      </c>
      <c r="J72" s="104">
        <f t="shared" si="26"/>
        <v>7471.2181818181807</v>
      </c>
      <c r="K72" s="105">
        <f t="shared" ref="K72" si="36">I72*4</f>
        <v>7904.8083636363626</v>
      </c>
      <c r="L72" s="62">
        <f t="shared" si="28"/>
        <v>8695.2891999999993</v>
      </c>
      <c r="M72" s="63">
        <f>'SA Apr 2019'!BB50</f>
        <v>0</v>
      </c>
      <c r="N72" s="63">
        <f>'SA Apr 2019'!BC50</f>
        <v>0</v>
      </c>
      <c r="O72" s="63">
        <f>'SA Apr 2019'!BD50</f>
        <v>0</v>
      </c>
      <c r="P72" s="63">
        <f>'SA Apr 2019'!BE50</f>
        <v>0</v>
      </c>
      <c r="Q72" s="63" t="str">
        <f t="shared" si="34"/>
        <v>No discount</v>
      </c>
      <c r="R72" s="63" t="s">
        <v>543</v>
      </c>
      <c r="S72" s="104">
        <f t="shared" si="30"/>
        <v>7904.8083636363626</v>
      </c>
      <c r="T72" s="105">
        <f t="shared" si="31"/>
        <v>7904.8083636363626</v>
      </c>
      <c r="U72" s="62">
        <f t="shared" si="32"/>
        <v>8695.2891999999993</v>
      </c>
      <c r="V72" s="62">
        <f t="shared" si="33"/>
        <v>8695.2891999999993</v>
      </c>
      <c r="W72" s="64">
        <f>'SA Apr 2019'!BL50</f>
        <v>36</v>
      </c>
      <c r="X72" s="65" t="str">
        <f>'SA Apr 2019'!BM50</f>
        <v>n</v>
      </c>
    </row>
  </sheetData>
  <sheetProtection algorithmName="SHA-512" hashValue="0Horvik22nXPfOUmmH7QCbSV9GBmKWohGYi9Q4EHQttJyM6w1h6YtLpPhaObopqhR384iXpp3pkSvv+oJ1Y2nA==" saltValue="tfV0pvdeHFu9ArdYG3cWzQ==" spinCount="100000" sheet="1" objects="1" scenarios="1"/>
  <conditionalFormatting sqref="A8:I24">
    <cfRule type="expression" dxfId="11" priority="56">
      <formula>MOD(ROW(),2)=0</formula>
    </cfRule>
  </conditionalFormatting>
  <conditionalFormatting sqref="L8:P24 A33:I48 A57:I72">
    <cfRule type="expression" dxfId="10" priority="60">
      <formula>MOD(ROW(),2)=0</formula>
    </cfRule>
  </conditionalFormatting>
  <conditionalFormatting sqref="L33:P48">
    <cfRule type="expression" dxfId="9" priority="2">
      <formula>MOD(ROW(),2)=0</formula>
    </cfRule>
  </conditionalFormatting>
  <conditionalFormatting sqref="L57:P72">
    <cfRule type="expression" dxfId="8" priority="1">
      <formula>MOD(ROW(),2)=0</formula>
    </cfRule>
  </conditionalFormatting>
  <conditionalFormatting sqref="U8:X24">
    <cfRule type="expression" dxfId="7" priority="6">
      <formula>MOD(ROW(),2)=0</formula>
    </cfRule>
  </conditionalFormatting>
  <conditionalFormatting sqref="U33:X48">
    <cfRule type="expression" dxfId="6" priority="9">
      <formula>MOD(ROW(),2)=0</formula>
    </cfRule>
  </conditionalFormatting>
  <conditionalFormatting sqref="U57:X72">
    <cfRule type="expression" dxfId="5" priority="4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0" max="16383" man="1" pt="1"/>
  </rowBreaks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F94DC-AF64-A348-B36C-6FD86625F1C8}">
  <sheetPr codeName="Sheet5">
    <tabColor theme="0" tint="-0.34998626667073579"/>
  </sheetPr>
  <dimension ref="A1:AW251"/>
  <sheetViews>
    <sheetView topLeftCell="A28" zoomScaleNormal="100" zoomScalePageLayoutView="125" workbookViewId="0">
      <selection activeCell="P1" sqref="O1:P1048576"/>
    </sheetView>
  </sheetViews>
  <sheetFormatPr baseColWidth="10" defaultRowHeight="13" x14ac:dyDescent="0.15"/>
  <cols>
    <col min="1" max="1" width="20.33203125" style="162" customWidth="1"/>
    <col min="2" max="2" width="22.6640625" style="162" bestFit="1" customWidth="1"/>
    <col min="3" max="14" width="12.1640625" style="162" customWidth="1"/>
    <col min="15" max="16" width="12.1640625" style="162" hidden="1" customWidth="1"/>
    <col min="17" max="20" width="12.1640625" style="162" customWidth="1"/>
    <col min="21" max="49" width="7.5" style="162" customWidth="1"/>
    <col min="50" max="16384" width="10.83203125" style="162"/>
  </cols>
  <sheetData>
    <row r="1" spans="1:49" ht="14" x14ac:dyDescent="0.15">
      <c r="A1" s="161" t="s">
        <v>31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</row>
    <row r="2" spans="1:49" ht="14" x14ac:dyDescent="0.15">
      <c r="A2" s="163" t="s">
        <v>236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</row>
    <row r="3" spans="1:49" ht="15" thickBot="1" x14ac:dyDescent="0.2">
      <c r="A3" s="161"/>
      <c r="B3" s="161"/>
      <c r="C3" s="161"/>
      <c r="D3" s="161"/>
      <c r="E3" s="161"/>
      <c r="F3" s="161"/>
      <c r="G3" s="164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</row>
    <row r="4" spans="1:49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7"/>
      <c r="P4" s="167"/>
      <c r="Q4" s="166"/>
      <c r="R4" s="166"/>
      <c r="S4" s="166"/>
      <c r="T4" s="168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</row>
    <row r="5" spans="1:49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71"/>
      <c r="P5" s="171"/>
      <c r="Q5" s="134"/>
      <c r="R5" s="134"/>
      <c r="S5" s="134"/>
      <c r="T5" s="172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</row>
    <row r="6" spans="1:49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71"/>
      <c r="P6" s="171"/>
      <c r="Q6" s="134"/>
      <c r="R6" s="134"/>
      <c r="S6" s="134"/>
      <c r="T6" s="172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</row>
    <row r="7" spans="1:49" ht="75" x14ac:dyDescent="0.15">
      <c r="A7" s="230" t="s">
        <v>216</v>
      </c>
      <c r="B7" s="232" t="s">
        <v>198</v>
      </c>
      <c r="C7" s="173" t="s">
        <v>199</v>
      </c>
      <c r="D7" s="173" t="s">
        <v>200</v>
      </c>
      <c r="E7" s="173" t="s">
        <v>201</v>
      </c>
      <c r="F7" s="173" t="s">
        <v>202</v>
      </c>
      <c r="G7" s="173" t="s">
        <v>163</v>
      </c>
      <c r="H7" s="173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</row>
    <row r="8" spans="1:49" ht="14" x14ac:dyDescent="0.15">
      <c r="A8" s="179" t="str">
        <f>'SA Oct 2018'!K2</f>
        <v>AGL</v>
      </c>
      <c r="B8" s="180" t="str">
        <f>'SA Oct 2018'!L2</f>
        <v xml:space="preserve">Business Savers </v>
      </c>
      <c r="C8" s="181">
        <f>91*'SA Oct 2018'!M2/100</f>
        <v>82.81</v>
      </c>
      <c r="D8" s="181">
        <f>$C$5*'SA Oct 2018'!N2/100</f>
        <v>2145</v>
      </c>
      <c r="E8" s="181">
        <v>0</v>
      </c>
      <c r="F8" s="182">
        <v>0</v>
      </c>
      <c r="G8" s="183">
        <v>0</v>
      </c>
      <c r="H8" s="184">
        <f>IF(($C$5&lt;'SA Oct 2018'!P2),(0),('SA Bills October 2018'!$C$5-'SA Oct 2018'!P2)*'SA Oct 2018'!Q2/100)</f>
        <v>0</v>
      </c>
      <c r="I8" s="185">
        <f>SUM(C8:H8)</f>
        <v>2227.81</v>
      </c>
      <c r="J8" s="186">
        <f>I8*4</f>
        <v>8911.24</v>
      </c>
      <c r="K8" s="187">
        <f>'SA Oct 2018'!AZ2</f>
        <v>0</v>
      </c>
      <c r="L8" s="187">
        <f>'SA Oct 2018'!BA2</f>
        <v>16</v>
      </c>
      <c r="M8" s="187">
        <f>'SA Oct 2018'!BB2</f>
        <v>0</v>
      </c>
      <c r="N8" s="187">
        <f>'SA Oct 2018'!BC2</f>
        <v>0</v>
      </c>
      <c r="O8" s="186">
        <f>J8-((I8-C8)*L8/100)*4</f>
        <v>7538.44</v>
      </c>
      <c r="P8" s="186">
        <f>O8</f>
        <v>7538.44</v>
      </c>
      <c r="Q8" s="186">
        <f>O8*1.1</f>
        <v>8292.2839999999997</v>
      </c>
      <c r="R8" s="186">
        <f>P8*1.1</f>
        <v>8292.2839999999997</v>
      </c>
      <c r="S8" s="188">
        <f>'SA Oct 2018'!BJ2</f>
        <v>0</v>
      </c>
      <c r="T8" s="189" t="str">
        <f>'SA Oct 2018'!BK2</f>
        <v>n</v>
      </c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1:49" ht="14" x14ac:dyDescent="0.15">
      <c r="A9" s="179" t="str">
        <f>'SA Oct 2018'!K3</f>
        <v>Alinta Energy</v>
      </c>
      <c r="B9" s="180" t="str">
        <f>'SA Oct 2018'!L3</f>
        <v>Business Saver</v>
      </c>
      <c r="C9" s="181">
        <f>91*'SA Oct 2018'!M3/100</f>
        <v>82.355000000000004</v>
      </c>
      <c r="D9" s="181">
        <f>IF($C$5&gt;='SA Oct 2018'!P3,('SA Oct 2018'!P3*'SA Oct 2018'!N3/100),('SA Bills October 2018'!$C$5*'SA Oct 2018'!N3/100))</f>
        <v>1119.75</v>
      </c>
      <c r="E9" s="181">
        <v>0</v>
      </c>
      <c r="F9" s="182">
        <v>0</v>
      </c>
      <c r="G9" s="183">
        <v>0</v>
      </c>
      <c r="H9" s="184">
        <f>IF(($C$5&lt;'SA Oct 2018'!P3),(0),('SA Bills October 2018'!$C$5-'SA Oct 2018'!P3)*'SA Oct 2018'!Q3/100)</f>
        <v>1119.75</v>
      </c>
      <c r="I9" s="185">
        <f t="shared" ref="I9:I23" si="0">SUM(C9:H9)</f>
        <v>2321.855</v>
      </c>
      <c r="J9" s="186">
        <f t="shared" ref="J9:J23" si="1">I9*4</f>
        <v>9287.42</v>
      </c>
      <c r="K9" s="187">
        <f>'SA Oct 2018'!AZ3</f>
        <v>0</v>
      </c>
      <c r="L9" s="187">
        <f>'SA Oct 2018'!BA3</f>
        <v>0</v>
      </c>
      <c r="M9" s="187">
        <f>'SA Oct 2018'!BB3</f>
        <v>0</v>
      </c>
      <c r="N9" s="187">
        <f>'SA Oct 2018'!BC3</f>
        <v>28</v>
      </c>
      <c r="O9" s="186">
        <f>J9</f>
        <v>9287.42</v>
      </c>
      <c r="P9" s="186">
        <f>O9-((I9-C9)*N9/100)*4</f>
        <v>6779.18</v>
      </c>
      <c r="Q9" s="186">
        <f t="shared" ref="Q9:R23" si="2">O9*1.1</f>
        <v>10216.162</v>
      </c>
      <c r="R9" s="186">
        <f t="shared" si="2"/>
        <v>7457.0980000000009</v>
      </c>
      <c r="S9" s="188">
        <f>'SA Oct 2018'!BJ3</f>
        <v>0</v>
      </c>
      <c r="T9" s="189" t="str">
        <f>'SA Oct 2018'!BK3</f>
        <v>n</v>
      </c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</row>
    <row r="10" spans="1:49" ht="14" x14ac:dyDescent="0.15">
      <c r="A10" s="179" t="str">
        <f>'SA Oct 2018'!K4</f>
        <v>Click Energy</v>
      </c>
      <c r="B10" s="180" t="str">
        <f>'SA Oct 2018'!L4</f>
        <v>Click Business Plus</v>
      </c>
      <c r="C10" s="181">
        <f>91*'SA Oct 2018'!M4/100</f>
        <v>75.075000000000003</v>
      </c>
      <c r="D10" s="181">
        <f>C5*'SA Oct 2018'!N4/100</f>
        <v>2300</v>
      </c>
      <c r="E10" s="181">
        <v>0</v>
      </c>
      <c r="F10" s="182">
        <v>0</v>
      </c>
      <c r="G10" s="183">
        <v>0</v>
      </c>
      <c r="H10" s="184">
        <f>IF(($C$5&lt;'SA Oct 2018'!P4),(0),('SA Bills October 2018'!$C$5-'SA Oct 2018'!P4)*'SA Oct 2018'!Q4/100)</f>
        <v>0</v>
      </c>
      <c r="I10" s="185">
        <f t="shared" si="0"/>
        <v>2375.0749999999998</v>
      </c>
      <c r="J10" s="186">
        <f t="shared" si="1"/>
        <v>9500.2999999999993</v>
      </c>
      <c r="K10" s="187">
        <f>'SA Oct 2018'!AZ4</f>
        <v>0</v>
      </c>
      <c r="L10" s="187">
        <f>'SA Oct 2018'!BA4</f>
        <v>0</v>
      </c>
      <c r="M10" s="187">
        <f>'SA Oct 2018'!BB4</f>
        <v>16</v>
      </c>
      <c r="N10" s="187">
        <f>'SA Oct 2018'!BC4</f>
        <v>0</v>
      </c>
      <c r="O10" s="186">
        <f>J10</f>
        <v>9500.2999999999993</v>
      </c>
      <c r="P10" s="186">
        <f>O10-(O10*M10/100)</f>
        <v>7980.2519999999995</v>
      </c>
      <c r="Q10" s="186">
        <f t="shared" si="2"/>
        <v>10450.33</v>
      </c>
      <c r="R10" s="186">
        <f t="shared" si="2"/>
        <v>8778.2772000000004</v>
      </c>
      <c r="S10" s="188">
        <f>'SA Oct 2018'!BJ4</f>
        <v>0</v>
      </c>
      <c r="T10" s="189" t="str">
        <f>'SA Oct 2018'!BK4</f>
        <v>n</v>
      </c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</row>
    <row r="11" spans="1:49" ht="14" x14ac:dyDescent="0.15">
      <c r="A11" s="179" t="str">
        <f>'SA Oct 2018'!K5</f>
        <v>Commander</v>
      </c>
      <c r="B11" s="180" t="str">
        <f>'SA Oct 2018'!L5</f>
        <v>Market offer</v>
      </c>
      <c r="C11" s="181">
        <f>91*'SA Oct 2018'!M5/100</f>
        <v>81.444999999999993</v>
      </c>
      <c r="D11" s="181">
        <f>$C$5*'SA Oct 2018'!N5/100</f>
        <v>2197.5</v>
      </c>
      <c r="E11" s="181">
        <v>0</v>
      </c>
      <c r="F11" s="182">
        <v>0</v>
      </c>
      <c r="G11" s="183">
        <v>0</v>
      </c>
      <c r="H11" s="184">
        <f>IF(($C$5&lt;'SA Oct 2018'!P5),(0),('SA Bills October 2018'!$C$5-'SA Oct 2018'!P5)*'SA Oct 2018'!Q5/100)</f>
        <v>0</v>
      </c>
      <c r="I11" s="185">
        <f t="shared" si="0"/>
        <v>2278.9450000000002</v>
      </c>
      <c r="J11" s="186">
        <f t="shared" si="1"/>
        <v>9115.7800000000007</v>
      </c>
      <c r="K11" s="187">
        <f>'SA Oct 2018'!AZ5</f>
        <v>0</v>
      </c>
      <c r="L11" s="187">
        <f>'SA Oct 2018'!BA5</f>
        <v>0</v>
      </c>
      <c r="M11" s="187">
        <f>'SA Oct 2018'!BB5</f>
        <v>0</v>
      </c>
      <c r="N11" s="187">
        <f>'SA Oct 2018'!BC5</f>
        <v>20</v>
      </c>
      <c r="O11" s="186">
        <f>J11</f>
        <v>9115.7800000000007</v>
      </c>
      <c r="P11" s="186">
        <f>O11-((I11-C11)*N11/100)*4</f>
        <v>7357.7800000000007</v>
      </c>
      <c r="Q11" s="186">
        <f t="shared" si="2"/>
        <v>10027.358000000002</v>
      </c>
      <c r="R11" s="186">
        <f t="shared" si="2"/>
        <v>8093.5580000000018</v>
      </c>
      <c r="S11" s="188">
        <f>'SA Oct 2018'!BJ5</f>
        <v>0</v>
      </c>
      <c r="T11" s="189" t="str">
        <f>'SA Oct 2018'!BK5</f>
        <v>n</v>
      </c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</row>
    <row r="12" spans="1:49" ht="14" x14ac:dyDescent="0.15">
      <c r="A12" s="179" t="str">
        <f>'SA Oct 2018'!K6</f>
        <v>Diamond Energy</v>
      </c>
      <c r="B12" s="180" t="str">
        <f>'SA Oct 2018'!L6</f>
        <v>Pay on time discount</v>
      </c>
      <c r="C12" s="181">
        <f>91*'SA Oct 2018'!M6/100</f>
        <v>90.545000000000002</v>
      </c>
      <c r="D12" s="181">
        <f>IF($C$5&gt;='SA Oct 2018'!P6,('SA Oct 2018'!P6*'SA Oct 2018'!N6/100),('SA Bills October 2018'!$C$5*'SA Oct 2018'!N6/100))</f>
        <v>389</v>
      </c>
      <c r="E12" s="181">
        <f>IF($C5&lt;'SA Oct 2018'!P6,0,IF(($C5-'SA Oct 2018'!P6)&lt;='SA Oct 2018'!R6,(($C5-'SA Oct 2018'!P6)*'SA Oct 2018'!Q6/100),((('SA Oct 2018'!R6+'SA Oct 2018'!P6)-('SA Oct 2018'!P6))*'SA Oct 2018'!Q6/100)))</f>
        <v>599.25000000000011</v>
      </c>
      <c r="F12" s="182">
        <v>0</v>
      </c>
      <c r="G12" s="183">
        <v>0</v>
      </c>
      <c r="H12" s="184">
        <f>IF(($C$5&lt;'SA Oct 2018'!R6+'SA Oct 2018'!P6),(0),(('SA Bills October 2018'!$C$5-('SA Oct 2018'!R6+'SA Oct 2018'!P6))*'SA Oct 2018'!S6/100))</f>
        <v>1024.4999999999998</v>
      </c>
      <c r="I12" s="185">
        <f t="shared" si="0"/>
        <v>2103.2950000000001</v>
      </c>
      <c r="J12" s="186">
        <f t="shared" si="1"/>
        <v>8413.18</v>
      </c>
      <c r="K12" s="187">
        <f>'SA Oct 2018'!AZ6</f>
        <v>0</v>
      </c>
      <c r="L12" s="187">
        <f>'SA Oct 2018'!BA6</f>
        <v>0</v>
      </c>
      <c r="M12" s="187">
        <f>'SA Oct 2018'!BB6</f>
        <v>7</v>
      </c>
      <c r="N12" s="187">
        <f>'SA Oct 2018'!BC6</f>
        <v>0</v>
      </c>
      <c r="O12" s="186">
        <f>J12</f>
        <v>8413.18</v>
      </c>
      <c r="P12" s="186">
        <f>O12-(O12*M12/100)</f>
        <v>7824.2574000000004</v>
      </c>
      <c r="Q12" s="186">
        <f t="shared" si="2"/>
        <v>9254.4980000000014</v>
      </c>
      <c r="R12" s="186">
        <f t="shared" si="2"/>
        <v>8606.683140000001</v>
      </c>
      <c r="S12" s="188">
        <f>'SA Oct 2018'!BJ6</f>
        <v>24</v>
      </c>
      <c r="T12" s="189" t="str">
        <f>'SA Oct 2018'!BK6</f>
        <v>y</v>
      </c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</row>
    <row r="13" spans="1:49" ht="14" x14ac:dyDescent="0.15">
      <c r="A13" s="179" t="str">
        <f>'SA Oct 2018'!K7</f>
        <v>EnergyAustralia</v>
      </c>
      <c r="B13" s="180" t="str">
        <f>'SA Oct 2018'!L7</f>
        <v>Everyday Saver Business</v>
      </c>
      <c r="C13" s="181">
        <f>91*'SA Oct 2018'!M7/100</f>
        <v>81.536000000000001</v>
      </c>
      <c r="D13" s="181">
        <f>$C$5*'SA Oct 2018'!N7/100</f>
        <v>2310</v>
      </c>
      <c r="E13" s="181">
        <v>0</v>
      </c>
      <c r="F13" s="182">
        <v>0</v>
      </c>
      <c r="G13" s="183">
        <v>0</v>
      </c>
      <c r="H13" s="184">
        <f>IF(($C$5&lt;'SA Oct 2018'!P7),(0),('SA Bills October 2018'!$C$5-'SA Oct 2018'!P7)*'SA Oct 2018'!Q7/100)</f>
        <v>0</v>
      </c>
      <c r="I13" s="185">
        <f t="shared" si="0"/>
        <v>2391.5360000000001</v>
      </c>
      <c r="J13" s="186">
        <f t="shared" si="1"/>
        <v>9566.1440000000002</v>
      </c>
      <c r="K13" s="187">
        <f>'SA Oct 2018'!AZ7</f>
        <v>0</v>
      </c>
      <c r="L13" s="187">
        <f>'SA Oct 2018'!BA7</f>
        <v>18</v>
      </c>
      <c r="M13" s="187">
        <f>'SA Oct 2018'!BB7</f>
        <v>0</v>
      </c>
      <c r="N13" s="187">
        <f>'SA Oct 2018'!BC7</f>
        <v>0</v>
      </c>
      <c r="O13" s="186">
        <f>J13-((I13-C13)*L13/100)*4</f>
        <v>7902.9440000000004</v>
      </c>
      <c r="P13" s="186">
        <f>O13</f>
        <v>7902.9440000000004</v>
      </c>
      <c r="Q13" s="186">
        <f t="shared" si="2"/>
        <v>8693.238400000002</v>
      </c>
      <c r="R13" s="186">
        <f t="shared" si="2"/>
        <v>8693.238400000002</v>
      </c>
      <c r="S13" s="188">
        <f>'SA Oct 2018'!BJ7</f>
        <v>24</v>
      </c>
      <c r="T13" s="189" t="str">
        <f>'SA Oct 2018'!BK7</f>
        <v>y</v>
      </c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</row>
    <row r="14" spans="1:49" ht="14" x14ac:dyDescent="0.15">
      <c r="A14" s="179" t="str">
        <f>'SA Oct 2018'!K8</f>
        <v>Lumo Energy</v>
      </c>
      <c r="B14" s="180" t="str">
        <f>'SA Oct 2018'!L8</f>
        <v>Business Premium</v>
      </c>
      <c r="C14" s="181">
        <f>91*'SA Oct 2018'!M8/100</f>
        <v>78.587600000000009</v>
      </c>
      <c r="D14" s="181">
        <f>IF($C$5&gt;='SA Oct 2018'!P8,('SA Oct 2018'!P8*'SA Oct 2018'!N8/100),('SA Bills October 2018'!$C$5*'SA Oct 2018'!N8/100))</f>
        <v>832.5</v>
      </c>
      <c r="E14" s="181">
        <v>0</v>
      </c>
      <c r="F14" s="182">
        <v>0</v>
      </c>
      <c r="G14" s="183">
        <v>0</v>
      </c>
      <c r="H14" s="184">
        <f>IF(($C$5&lt;'SA Oct 2018'!P8),(0),('SA Bills October 2018'!$C$5-'SA Oct 2018'!P8)*'SA Oct 2018'!Q8/100)</f>
        <v>875</v>
      </c>
      <c r="I14" s="185">
        <f t="shared" si="0"/>
        <v>1786.0876000000001</v>
      </c>
      <c r="J14" s="186">
        <f t="shared" si="1"/>
        <v>7144.3504000000003</v>
      </c>
      <c r="K14" s="187">
        <f>'SA Oct 2018'!AZ8</f>
        <v>0</v>
      </c>
      <c r="L14" s="187">
        <f>'SA Oct 2018'!BA8</f>
        <v>0</v>
      </c>
      <c r="M14" s="187">
        <f>'SA Oct 2018'!BB8</f>
        <v>0</v>
      </c>
      <c r="N14" s="187">
        <f>'SA Oct 2018'!BC8</f>
        <v>0</v>
      </c>
      <c r="O14" s="186">
        <f t="shared" ref="O14:O15" si="3">J14</f>
        <v>7144.3504000000003</v>
      </c>
      <c r="P14" s="186">
        <f t="shared" ref="P14:P17" si="4">O14</f>
        <v>7144.3504000000003</v>
      </c>
      <c r="Q14" s="186">
        <f t="shared" si="2"/>
        <v>7858.7854400000006</v>
      </c>
      <c r="R14" s="186">
        <f t="shared" si="2"/>
        <v>7858.7854400000006</v>
      </c>
      <c r="S14" s="188">
        <f>'SA Oct 2018'!BJ8</f>
        <v>0</v>
      </c>
      <c r="T14" s="189" t="str">
        <f>'SA Oct 2018'!BK8</f>
        <v>n</v>
      </c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</row>
    <row r="15" spans="1:49" ht="14" x14ac:dyDescent="0.15">
      <c r="A15" s="179" t="str">
        <f>'SA Oct 2018'!K9</f>
        <v>Momentum Energy</v>
      </c>
      <c r="B15" s="180" t="str">
        <f>'SA Oct 2018'!L9</f>
        <v>SmilePower</v>
      </c>
      <c r="C15" s="181">
        <f>91*'SA Oct 2018'!M9/100</f>
        <v>89.079899999999995</v>
      </c>
      <c r="D15" s="181">
        <f>IF($C$5&gt;='SA Oct 2018'!P9,('SA Oct 2018'!P9*'SA Oct 2018'!N9/100),('SA Bills October 2018'!$C$5*'SA Oct 2018'!N9/100))</f>
        <v>476.52</v>
      </c>
      <c r="E15" s="181">
        <v>0</v>
      </c>
      <c r="F15" s="182">
        <v>0</v>
      </c>
      <c r="G15" s="183">
        <v>0</v>
      </c>
      <c r="H15" s="184">
        <f>IF(($C$5&lt;'SA Oct 2018'!P9),(0),('SA Bills October 2018'!$C$5-'SA Oct 2018'!P9)*'SA Oct 2018'!Q9/100)</f>
        <v>1508.98</v>
      </c>
      <c r="I15" s="185">
        <f t="shared" si="0"/>
        <v>2074.5798999999997</v>
      </c>
      <c r="J15" s="186">
        <f t="shared" si="1"/>
        <v>8298.3195999999989</v>
      </c>
      <c r="K15" s="187">
        <f>'SA Oct 2018'!AZ9</f>
        <v>0</v>
      </c>
      <c r="L15" s="187">
        <f>'SA Oct 2018'!BA9</f>
        <v>0</v>
      </c>
      <c r="M15" s="187">
        <f>'SA Oct 2018'!BB9</f>
        <v>0</v>
      </c>
      <c r="N15" s="187">
        <f>'SA Oct 2018'!BC9</f>
        <v>0</v>
      </c>
      <c r="O15" s="186">
        <f t="shared" si="3"/>
        <v>8298.3195999999989</v>
      </c>
      <c r="P15" s="186">
        <f t="shared" si="4"/>
        <v>8298.3195999999989</v>
      </c>
      <c r="Q15" s="186">
        <f t="shared" si="2"/>
        <v>9128.1515600000002</v>
      </c>
      <c r="R15" s="186">
        <f t="shared" si="2"/>
        <v>9128.1515600000002</v>
      </c>
      <c r="S15" s="188">
        <f>'SA Oct 2018'!BJ9</f>
        <v>12</v>
      </c>
      <c r="T15" s="189" t="str">
        <f>'SA Oct 2018'!BK9</f>
        <v>y</v>
      </c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/>
    </row>
    <row r="16" spans="1:49" ht="14" x14ac:dyDescent="0.15">
      <c r="A16" s="179" t="str">
        <f>'SA Oct 2018'!K10</f>
        <v>Origin Energy</v>
      </c>
      <c r="B16" s="180" t="str">
        <f>'SA Oct 2018'!L10</f>
        <v>Business Saver</v>
      </c>
      <c r="C16" s="181">
        <f>91*'SA Oct 2018'!M10/100</f>
        <v>81.608800000000016</v>
      </c>
      <c r="D16" s="181">
        <f>C5*'SA Oct 2018'!N10/100</f>
        <v>1988.5000000000002</v>
      </c>
      <c r="E16" s="181">
        <v>0</v>
      </c>
      <c r="F16" s="182">
        <v>0</v>
      </c>
      <c r="G16" s="183">
        <v>0</v>
      </c>
      <c r="H16" s="184">
        <f>IF(($C$5&lt;'SA Oct 2018'!P10),(0),('SA Bills October 2018'!$C$5-'SA Oct 2018'!P10)*'SA Oct 2018'!Q10/100)</f>
        <v>0</v>
      </c>
      <c r="I16" s="185">
        <f t="shared" si="0"/>
        <v>2070.1088000000004</v>
      </c>
      <c r="J16" s="186">
        <f t="shared" si="1"/>
        <v>8280.4352000000017</v>
      </c>
      <c r="K16" s="187">
        <f>'SA Oct 2018'!AZ10</f>
        <v>0</v>
      </c>
      <c r="L16" s="187">
        <f>'SA Oct 2018'!BA10</f>
        <v>16</v>
      </c>
      <c r="M16" s="187">
        <f>'SA Oct 2018'!BB10</f>
        <v>0</v>
      </c>
      <c r="N16" s="187">
        <f>'SA Oct 2018'!BC10</f>
        <v>0</v>
      </c>
      <c r="O16" s="186">
        <f>J16-((I16-C16)*L16/100)*4</f>
        <v>7007.7952000000014</v>
      </c>
      <c r="P16" s="186">
        <f>O16</f>
        <v>7007.7952000000014</v>
      </c>
      <c r="Q16" s="186">
        <f t="shared" si="2"/>
        <v>7708.5747200000023</v>
      </c>
      <c r="R16" s="186">
        <f t="shared" si="2"/>
        <v>7708.5747200000023</v>
      </c>
      <c r="S16" s="188">
        <f>'SA Oct 2018'!BJ10</f>
        <v>12</v>
      </c>
      <c r="T16" s="189" t="str">
        <f>'SA Oct 2018'!BK10</f>
        <v>y</v>
      </c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</row>
    <row r="17" spans="1:49" ht="14" x14ac:dyDescent="0.15">
      <c r="A17" s="179" t="str">
        <f>'SA Oct 2018'!K11</f>
        <v>Powerdirect</v>
      </c>
      <c r="B17" s="180" t="str">
        <f>'SA Oct 2018'!L11</f>
        <v>Market offer</v>
      </c>
      <c r="C17" s="181">
        <f>91*'SA Oct 2018'!M11/100</f>
        <v>82.81</v>
      </c>
      <c r="D17" s="181">
        <f>C5*'SA Oct 2018'!N11/100</f>
        <v>2145</v>
      </c>
      <c r="E17" s="181">
        <v>0</v>
      </c>
      <c r="F17" s="182">
        <v>0</v>
      </c>
      <c r="G17" s="183">
        <v>0</v>
      </c>
      <c r="H17" s="184">
        <f>IF(($C$5&lt;'SA Oct 2018'!P11),(0),('SA Bills October 2018'!$C$5-'SA Oct 2018'!P11)*'SA Oct 2018'!Q11/100)</f>
        <v>0</v>
      </c>
      <c r="I17" s="185">
        <f t="shared" si="0"/>
        <v>2227.81</v>
      </c>
      <c r="J17" s="186">
        <f t="shared" si="1"/>
        <v>8911.24</v>
      </c>
      <c r="K17" s="187">
        <f>'SA Oct 2018'!AZ11</f>
        <v>0</v>
      </c>
      <c r="L17" s="187">
        <f>'SA Oct 2018'!BA11</f>
        <v>16</v>
      </c>
      <c r="M17" s="187">
        <f>'SA Oct 2018'!BB11</f>
        <v>0</v>
      </c>
      <c r="N17" s="187">
        <f>'SA Oct 2018'!BC11</f>
        <v>0</v>
      </c>
      <c r="O17" s="186">
        <f>J17-((I17-C17)*L17/100)*4</f>
        <v>7538.44</v>
      </c>
      <c r="P17" s="186">
        <f t="shared" si="4"/>
        <v>7538.44</v>
      </c>
      <c r="Q17" s="186">
        <f t="shared" si="2"/>
        <v>8292.2839999999997</v>
      </c>
      <c r="R17" s="186">
        <f t="shared" si="2"/>
        <v>8292.2839999999997</v>
      </c>
      <c r="S17" s="188">
        <f>'SA Oct 2018'!BJ11</f>
        <v>0</v>
      </c>
      <c r="T17" s="189" t="str">
        <f>'SA Oct 2018'!BK11</f>
        <v>n</v>
      </c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</row>
    <row r="18" spans="1:49" ht="14" x14ac:dyDescent="0.15">
      <c r="A18" s="179" t="str">
        <f>'SA Oct 2018'!K12</f>
        <v>Red Energy</v>
      </c>
      <c r="B18" s="180" t="str">
        <f>'SA Oct 2018'!L12</f>
        <v>No exit fee saver</v>
      </c>
      <c r="C18" s="181">
        <f>91*'SA Oct 2018'!M12/100</f>
        <v>91.454999999999998</v>
      </c>
      <c r="D18" s="181">
        <f>IF($C$5&gt;='SA Oct 2018'!P12,('SA Oct 2018'!P12*'SA Oct 2018'!N12/100),('SA Bills October 2018'!$C$5*'SA Oct 2018'!N12/100))</f>
        <v>997.5</v>
      </c>
      <c r="E18" s="181">
        <v>0</v>
      </c>
      <c r="F18" s="182">
        <v>0</v>
      </c>
      <c r="G18" s="183">
        <v>0</v>
      </c>
      <c r="H18" s="184">
        <f>IF(($C$5&lt;'SA Oct 2018'!P12),(0),('SA Bills October 2018'!$C$5-'SA Oct 2018'!P12)*'SA Oct 2018'!Q12/100)</f>
        <v>1050</v>
      </c>
      <c r="I18" s="185">
        <f t="shared" si="0"/>
        <v>2138.9549999999999</v>
      </c>
      <c r="J18" s="186">
        <f t="shared" si="1"/>
        <v>8555.82</v>
      </c>
      <c r="K18" s="187">
        <f>'SA Oct 2018'!AZ12</f>
        <v>0</v>
      </c>
      <c r="L18" s="187">
        <f>'SA Oct 2018'!BA12</f>
        <v>0</v>
      </c>
      <c r="M18" s="187">
        <f>'SA Oct 2018'!BB12</f>
        <v>10</v>
      </c>
      <c r="N18" s="187">
        <f>'SA Oct 2018'!BC12</f>
        <v>0</v>
      </c>
      <c r="O18" s="186">
        <f>J18</f>
        <v>8555.82</v>
      </c>
      <c r="P18" s="186">
        <f>O18-(O18*M18/100)</f>
        <v>7700.2379999999994</v>
      </c>
      <c r="Q18" s="186">
        <f t="shared" si="2"/>
        <v>9411.402</v>
      </c>
      <c r="R18" s="186">
        <f t="shared" si="2"/>
        <v>8470.2618000000002</v>
      </c>
      <c r="S18" s="188">
        <f>'SA Oct 2018'!BJ12</f>
        <v>0</v>
      </c>
      <c r="T18" s="189" t="str">
        <f>'SA Oct 2018'!BK12</f>
        <v>n</v>
      </c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</row>
    <row r="19" spans="1:49" ht="14" x14ac:dyDescent="0.15">
      <c r="A19" s="179" t="str">
        <f>'SA Oct 2018'!K13</f>
        <v>Simply Energy</v>
      </c>
      <c r="B19" s="180" t="str">
        <f>'SA Oct 2018'!L13</f>
        <v>Business Plus</v>
      </c>
      <c r="C19" s="181">
        <f>91*'SA Oct 2018'!M13/100</f>
        <v>78.605800000000002</v>
      </c>
      <c r="D19" s="181">
        <f>$C$5*'SA Oct 2018'!N13/100</f>
        <v>2017.0000000000002</v>
      </c>
      <c r="E19" s="181">
        <v>0</v>
      </c>
      <c r="F19" s="182">
        <v>0</v>
      </c>
      <c r="G19" s="183">
        <v>0</v>
      </c>
      <c r="H19" s="184">
        <f>IF(($C$5&lt;'SA Oct 2018'!P13),(0),('SA Bills October 2018'!$C$5-'SA Oct 2018'!P13)*'SA Oct 2018'!Q13/100)</f>
        <v>0</v>
      </c>
      <c r="I19" s="185">
        <f t="shared" si="0"/>
        <v>2095.6058000000003</v>
      </c>
      <c r="J19" s="186">
        <f t="shared" si="1"/>
        <v>8382.4232000000011</v>
      </c>
      <c r="K19" s="187">
        <f>'SA Oct 2018'!AZ13</f>
        <v>0</v>
      </c>
      <c r="L19" s="187">
        <f>'SA Oct 2018'!BA13</f>
        <v>15</v>
      </c>
      <c r="M19" s="187">
        <f>'SA Oct 2018'!BB13</f>
        <v>0</v>
      </c>
      <c r="N19" s="187">
        <f>'SA Oct 2018'!BC13</f>
        <v>0</v>
      </c>
      <c r="O19" s="186">
        <f>J19-((I19-C19)*L19/100)*4</f>
        <v>7172.2232000000013</v>
      </c>
      <c r="P19" s="186">
        <f>O19</f>
        <v>7172.2232000000013</v>
      </c>
      <c r="Q19" s="186">
        <f t="shared" si="2"/>
        <v>7889.445520000002</v>
      </c>
      <c r="R19" s="186">
        <f t="shared" si="2"/>
        <v>7889.445520000002</v>
      </c>
      <c r="S19" s="188">
        <f>'SA Oct 2018'!BJ13</f>
        <v>0</v>
      </c>
      <c r="T19" s="189" t="str">
        <f>'SA Oct 2018'!BK13</f>
        <v>n</v>
      </c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</row>
    <row r="20" spans="1:49" ht="14" x14ac:dyDescent="0.15">
      <c r="A20" s="179" t="str">
        <f>'SA Oct 2018'!K14</f>
        <v>Blue NRG</v>
      </c>
      <c r="B20" s="180" t="str">
        <f>'SA Oct 2018'!L14</f>
        <v>Super Saver</v>
      </c>
      <c r="C20" s="181">
        <f>91*'SA Oct 2018'!M14/100</f>
        <v>101.01</v>
      </c>
      <c r="D20" s="181">
        <f>$C$5*'SA Oct 2018'!N14/100</f>
        <v>1700</v>
      </c>
      <c r="E20" s="181">
        <v>0</v>
      </c>
      <c r="F20" s="182">
        <v>0</v>
      </c>
      <c r="G20" s="183">
        <v>0</v>
      </c>
      <c r="H20" s="184">
        <f>IF(($C$5&lt;'SA Oct 2018'!P14),(0),('SA Bills October 2018'!$C$5-'SA Oct 2018'!P14)*'SA Oct 2018'!Q14/100)</f>
        <v>0</v>
      </c>
      <c r="I20" s="185">
        <f t="shared" si="0"/>
        <v>1801.01</v>
      </c>
      <c r="J20" s="186">
        <f t="shared" si="1"/>
        <v>7204.04</v>
      </c>
      <c r="K20" s="187">
        <f>'SA Oct 2018'!AZ14</f>
        <v>0</v>
      </c>
      <c r="L20" s="187">
        <f>'SA Oct 2018'!BA14</f>
        <v>0</v>
      </c>
      <c r="M20" s="187">
        <f>'SA Oct 2018'!BB14</f>
        <v>0</v>
      </c>
      <c r="N20" s="187">
        <f>'SA Oct 2018'!BC14</f>
        <v>0</v>
      </c>
      <c r="O20" s="186">
        <f>J20</f>
        <v>7204.04</v>
      </c>
      <c r="P20" s="186">
        <f t="shared" ref="P20:P21" si="5">O20</f>
        <v>7204.04</v>
      </c>
      <c r="Q20" s="186">
        <f t="shared" si="2"/>
        <v>7924.4440000000004</v>
      </c>
      <c r="R20" s="186">
        <f t="shared" si="2"/>
        <v>7924.4440000000004</v>
      </c>
      <c r="S20" s="188">
        <f>'SA Oct 2018'!BJ14</f>
        <v>36</v>
      </c>
      <c r="T20" s="189" t="str">
        <f>'SA Oct 2018'!BK14</f>
        <v>n</v>
      </c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</row>
    <row r="21" spans="1:49" ht="14" x14ac:dyDescent="0.15">
      <c r="A21" s="179" t="str">
        <f>'SA Oct 2018'!K15</f>
        <v>Q Energy</v>
      </c>
      <c r="B21" s="180" t="str">
        <f>'SA Oct 2018'!L15</f>
        <v>Flexi Saver Biz</v>
      </c>
      <c r="C21" s="181">
        <f>91*'SA Oct 2018'!M15/100</f>
        <v>72.8</v>
      </c>
      <c r="D21" s="181">
        <f>$C$5*'SA Oct 2018'!N15/100</f>
        <v>1584</v>
      </c>
      <c r="E21" s="181">
        <v>0</v>
      </c>
      <c r="F21" s="182">
        <v>0</v>
      </c>
      <c r="G21" s="183">
        <v>0</v>
      </c>
      <c r="H21" s="184">
        <f>IF(($C$5&lt;'SA Oct 2018'!P15),(0),('SA Bills October 2018'!$C$5-'SA Oct 2018'!P15)*'SA Oct 2018'!Q15/100)</f>
        <v>0</v>
      </c>
      <c r="I21" s="185">
        <f t="shared" si="0"/>
        <v>1656.8</v>
      </c>
      <c r="J21" s="186">
        <f t="shared" si="1"/>
        <v>6627.2</v>
      </c>
      <c r="K21" s="187">
        <f>'SA Oct 2018'!AZ15</f>
        <v>0</v>
      </c>
      <c r="L21" s="187">
        <f>'SA Oct 2018'!BA15</f>
        <v>0</v>
      </c>
      <c r="M21" s="187">
        <f>'SA Oct 2018'!BB15</f>
        <v>0</v>
      </c>
      <c r="N21" s="187">
        <f>'SA Oct 2018'!BC15</f>
        <v>0</v>
      </c>
      <c r="O21" s="186">
        <f>J21</f>
        <v>6627.2</v>
      </c>
      <c r="P21" s="186">
        <f t="shared" si="5"/>
        <v>6627.2</v>
      </c>
      <c r="Q21" s="186">
        <f t="shared" si="2"/>
        <v>7289.92</v>
      </c>
      <c r="R21" s="186">
        <f t="shared" si="2"/>
        <v>7289.92</v>
      </c>
      <c r="S21" s="188">
        <f>'SA Oct 2018'!BJ15</f>
        <v>24</v>
      </c>
      <c r="T21" s="189" t="str">
        <f>'SA Oct 2018'!BK15</f>
        <v>y</v>
      </c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</row>
    <row r="22" spans="1:49" ht="14" x14ac:dyDescent="0.15">
      <c r="A22" s="179" t="str">
        <f>'SA Oct 2018'!K16</f>
        <v>Amaysim</v>
      </c>
      <c r="B22" s="190" t="str">
        <f>'SA Oct 2018'!L16</f>
        <v>Business 1</v>
      </c>
      <c r="C22" s="181">
        <f>91*'SA Oct 2018'!M16/100</f>
        <v>75.075000000000003</v>
      </c>
      <c r="D22" s="181">
        <f>$C$5*'SA Oct 2018'!N16/100</f>
        <v>2300</v>
      </c>
      <c r="E22" s="181">
        <v>0</v>
      </c>
      <c r="F22" s="181">
        <v>0</v>
      </c>
      <c r="G22" s="183">
        <v>0</v>
      </c>
      <c r="H22" s="181">
        <f>IF(($C$5&lt;'SA Oct 2018'!P16),(0),('SA Bills October 2018'!$C$5-'SA Oct 2018'!P16)*'SA Oct 2018'!Q16/100)</f>
        <v>0</v>
      </c>
      <c r="I22" s="185">
        <f t="shared" si="0"/>
        <v>2375.0749999999998</v>
      </c>
      <c r="J22" s="186">
        <f t="shared" si="1"/>
        <v>9500.2999999999993</v>
      </c>
      <c r="K22" s="187">
        <f>'SA Oct 2018'!AZ16</f>
        <v>0</v>
      </c>
      <c r="L22" s="187">
        <f>'SA Oct 2018'!BA16</f>
        <v>0</v>
      </c>
      <c r="M22" s="187">
        <f>'SA Oct 2018'!BB16</f>
        <v>16</v>
      </c>
      <c r="N22" s="187">
        <f>'SA Oct 2018'!BC16</f>
        <v>0</v>
      </c>
      <c r="O22" s="186">
        <f>J22</f>
        <v>9500.2999999999993</v>
      </c>
      <c r="P22" s="186">
        <f>O22-(O22*M22/100)</f>
        <v>7980.2519999999995</v>
      </c>
      <c r="Q22" s="186">
        <f t="shared" si="2"/>
        <v>10450.33</v>
      </c>
      <c r="R22" s="186">
        <f t="shared" si="2"/>
        <v>8778.2772000000004</v>
      </c>
      <c r="S22" s="188">
        <f>'SA Oct 2018'!BJ16</f>
        <v>0</v>
      </c>
      <c r="T22" s="189" t="str">
        <f>'SA Oct 2018'!BK16</f>
        <v>n</v>
      </c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</row>
    <row r="23" spans="1:49" ht="15" thickBot="1" x14ac:dyDescent="0.2">
      <c r="A23" s="191" t="str">
        <f>'SA Oct 2018'!K17</f>
        <v>Next Business Energy</v>
      </c>
      <c r="B23" s="192" t="str">
        <f>'SA Oct 2018'!L17</f>
        <v>Pay on time</v>
      </c>
      <c r="C23" s="193">
        <f>91*'SA Oct 2018'!M17/100</f>
        <v>86.45</v>
      </c>
      <c r="D23" s="193">
        <f>$C$5*'SA Oct 2018'!N17/100</f>
        <v>1975</v>
      </c>
      <c r="E23" s="193">
        <v>0</v>
      </c>
      <c r="F23" s="193">
        <v>0</v>
      </c>
      <c r="G23" s="194">
        <v>0</v>
      </c>
      <c r="H23" s="193">
        <f>IF(($C$5&lt;'SA Oct 2018'!P17),(0),('SA Bills October 2018'!$C$5-'SA Oct 2018'!P17)*'SA Oct 2018'!Q17/100)</f>
        <v>0</v>
      </c>
      <c r="I23" s="195">
        <f t="shared" si="0"/>
        <v>2061.4499999999998</v>
      </c>
      <c r="J23" s="196">
        <f t="shared" si="1"/>
        <v>8245.7999999999993</v>
      </c>
      <c r="K23" s="197">
        <f>'SA Oct 2018'!AZ17</f>
        <v>0</v>
      </c>
      <c r="L23" s="197">
        <f>'SA Oct 2018'!BA17</f>
        <v>0</v>
      </c>
      <c r="M23" s="197">
        <f>'SA Oct 2018'!BB17</f>
        <v>7</v>
      </c>
      <c r="N23" s="197">
        <f>'SA Oct 2018'!BC17</f>
        <v>0</v>
      </c>
      <c r="O23" s="196">
        <f>J23</f>
        <v>8245.7999999999993</v>
      </c>
      <c r="P23" s="196">
        <f>O23-(O23*M23/100)</f>
        <v>7668.5939999999991</v>
      </c>
      <c r="Q23" s="196">
        <f t="shared" si="2"/>
        <v>9070.3799999999992</v>
      </c>
      <c r="R23" s="196">
        <f t="shared" si="2"/>
        <v>8435.4534000000003</v>
      </c>
      <c r="S23" s="198">
        <f>'SA Oct 2018'!BJ17</f>
        <v>24</v>
      </c>
      <c r="T23" s="199" t="str">
        <f>'SA Oct 2018'!BK17</f>
        <v>n</v>
      </c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</row>
    <row r="24" spans="1:49" ht="14" x14ac:dyDescent="0.15">
      <c r="A24" s="161"/>
      <c r="B24" s="161"/>
      <c r="C24" s="200"/>
      <c r="D24" s="200"/>
      <c r="E24" s="200"/>
      <c r="F24" s="200"/>
      <c r="G24" s="200"/>
      <c r="H24" s="200"/>
      <c r="I24" s="20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</row>
    <row r="25" spans="1:49" ht="15" thickBot="1" x14ac:dyDescent="0.2">
      <c r="A25" s="161"/>
      <c r="B25" s="161"/>
      <c r="C25" s="200"/>
      <c r="D25" s="200"/>
      <c r="E25" s="200"/>
      <c r="F25" s="200"/>
      <c r="G25" s="200"/>
      <c r="H25" s="200"/>
      <c r="I25" s="20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</row>
    <row r="26" spans="1:49" ht="14" x14ac:dyDescent="0.15">
      <c r="A26" s="165" t="s">
        <v>84</v>
      </c>
      <c r="B26" s="166"/>
      <c r="C26" s="166"/>
      <c r="D26" s="202"/>
      <c r="E26" s="202"/>
      <c r="F26" s="202"/>
      <c r="G26" s="202"/>
      <c r="H26" s="202"/>
      <c r="I26" s="203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</row>
    <row r="27" spans="1:49" ht="14" x14ac:dyDescent="0.15">
      <c r="A27" s="169" t="s">
        <v>197</v>
      </c>
      <c r="B27" s="134"/>
      <c r="C27" s="170">
        <v>5000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</row>
    <row r="28" spans="1:49" ht="14" x14ac:dyDescent="0.15">
      <c r="A28" s="169" t="s">
        <v>85</v>
      </c>
      <c r="B28" s="134"/>
      <c r="C28" s="206">
        <v>0.7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</row>
    <row r="29" spans="1:49" ht="14" x14ac:dyDescent="0.15">
      <c r="A29" s="169" t="s">
        <v>171</v>
      </c>
      <c r="B29" s="134"/>
      <c r="C29" s="206">
        <v>0.3</v>
      </c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</row>
    <row r="30" spans="1:49" ht="14" x14ac:dyDescent="0.15">
      <c r="A30" s="169"/>
      <c r="B30" s="134"/>
      <c r="C30" s="204"/>
      <c r="D30" s="204"/>
      <c r="E30" s="204"/>
      <c r="F30" s="204"/>
      <c r="G30" s="204"/>
      <c r="H30" s="204"/>
      <c r="I30" s="205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72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</row>
    <row r="31" spans="1:49" ht="75" x14ac:dyDescent="0.15">
      <c r="A31" s="230" t="s">
        <v>216</v>
      </c>
      <c r="B31" s="232" t="s">
        <v>198</v>
      </c>
      <c r="C31" s="173" t="s">
        <v>199</v>
      </c>
      <c r="D31" s="173" t="s">
        <v>200</v>
      </c>
      <c r="E31" s="173" t="s">
        <v>201</v>
      </c>
      <c r="F31" s="173" t="s">
        <v>164</v>
      </c>
      <c r="G31" s="173" t="s">
        <v>84</v>
      </c>
      <c r="H31" s="173" t="s">
        <v>233</v>
      </c>
      <c r="I31" s="173" t="s">
        <v>165</v>
      </c>
      <c r="J31" s="174" t="s">
        <v>166</v>
      </c>
      <c r="K31" s="175" t="s">
        <v>167</v>
      </c>
      <c r="L31" s="175" t="s">
        <v>168</v>
      </c>
      <c r="M31" s="175" t="s">
        <v>169</v>
      </c>
      <c r="N31" s="175" t="s">
        <v>170</v>
      </c>
      <c r="O31" s="176" t="s">
        <v>579</v>
      </c>
      <c r="P31" s="176" t="s">
        <v>580</v>
      </c>
      <c r="Q31" s="176" t="s">
        <v>227</v>
      </c>
      <c r="R31" s="176" t="s">
        <v>272</v>
      </c>
      <c r="S31" s="175" t="s">
        <v>82</v>
      </c>
      <c r="T31" s="177" t="s">
        <v>83</v>
      </c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</row>
    <row r="32" spans="1:49" ht="14" x14ac:dyDescent="0.15">
      <c r="A32" s="179" t="str">
        <f>'SA Oct 2018'!K18</f>
        <v>AGL</v>
      </c>
      <c r="B32" s="180" t="str">
        <f>'SA Oct 2018'!L18</f>
        <v xml:space="preserve">Business Savers </v>
      </c>
      <c r="C32" s="181">
        <f>91*'SA Oct 2018'!M18/100</f>
        <v>82.81</v>
      </c>
      <c r="D32" s="181">
        <f>($C$27*$C$28)*'SA Oct 2018'!N18/100</f>
        <v>1501.5</v>
      </c>
      <c r="E32" s="181">
        <v>0</v>
      </c>
      <c r="F32" s="182">
        <f>IF($C$27*$C$28&lt;'SA Oct 2018'!P18,(0),((('SA Bills October 2018'!$C$27*'SA Bills October 2018'!$C$28)-('SA Oct 2018'!P18))*'SA Oct 2018'!Q18/100))</f>
        <v>0</v>
      </c>
      <c r="G32" s="183">
        <f>($C$27*$C$29)*'SA Oct 2018'!AF18/100</f>
        <v>328.5</v>
      </c>
      <c r="H32" s="184">
        <v>0</v>
      </c>
      <c r="I32" s="185">
        <f t="shared" ref="I32:I45" si="6">SUM(C32:G32)</f>
        <v>1912.81</v>
      </c>
      <c r="J32" s="186">
        <f>I32*4</f>
        <v>7651.24</v>
      </c>
      <c r="K32" s="187">
        <f>'SA Oct 2018'!AZ18</f>
        <v>0</v>
      </c>
      <c r="L32" s="187">
        <f>'SA Oct 2018'!BA18</f>
        <v>16</v>
      </c>
      <c r="M32" s="187">
        <f>'SA Oct 2018'!BB18</f>
        <v>0</v>
      </c>
      <c r="N32" s="187">
        <f>'SA Oct 2018'!BC18</f>
        <v>0</v>
      </c>
      <c r="O32" s="186">
        <f>J32-((I32-C32)*L32/100)*4</f>
        <v>6480.04</v>
      </c>
      <c r="P32" s="186">
        <f>O32</f>
        <v>6480.04</v>
      </c>
      <c r="Q32" s="186">
        <f>O32*1.1</f>
        <v>7128.0440000000008</v>
      </c>
      <c r="R32" s="186">
        <f>P32*1.1</f>
        <v>7128.0440000000008</v>
      </c>
      <c r="S32" s="188">
        <f>'SA Oct 2018'!BJ25</f>
        <v>12</v>
      </c>
      <c r="T32" s="189" t="str">
        <f>'SA Oct 2018'!BK25</f>
        <v>y</v>
      </c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</row>
    <row r="33" spans="1:49" ht="14" x14ac:dyDescent="0.15">
      <c r="A33" s="179" t="str">
        <f>'SA Oct 2018'!K19</f>
        <v>Alinta Energy</v>
      </c>
      <c r="B33" s="180" t="str">
        <f>'SA Oct 2018'!L19</f>
        <v>Business Saver</v>
      </c>
      <c r="C33" s="181">
        <f>91*'SA Oct 2018'!M19/100</f>
        <v>82.355000000000004</v>
      </c>
      <c r="D33" s="181">
        <f>IF(($C$27*$C$28)&gt;='SA Oct 2018'!P19,('SA Oct 2018'!P19*'SA Oct 2018'!N19/100),(('SA Bills October 2018'!$C$27*'SA Bills October 2018'!$C$28)*'SA Oct 2018'!N19/100))</f>
        <v>1119.75</v>
      </c>
      <c r="E33" s="181">
        <v>0</v>
      </c>
      <c r="F33" s="182">
        <f>IF($C$27*$C$28&lt;'SA Oct 2018'!P19,(0),((('SA Bills October 2018'!$C$27*'SA Bills October 2018'!$C$28)-('SA Oct 2018'!P19))*'SA Oct 2018'!Q19/100))</f>
        <v>447.9</v>
      </c>
      <c r="G33" s="183">
        <f>($C$27*$C$29)*'SA Oct 2018'!AF19/100</f>
        <v>306.75</v>
      </c>
      <c r="H33" s="184">
        <f>IF($C$27*$C$29&lt;'SA Oct 2018'!AG19,(0),((('SA Bills October 2018'!$C$27*'SA Bills October 2018'!$C$29)-('SA Oct 2018'!AG19))*'SA Oct 2018'!AH19/100))</f>
        <v>0</v>
      </c>
      <c r="I33" s="185">
        <f t="shared" si="6"/>
        <v>1956.7550000000001</v>
      </c>
      <c r="J33" s="186">
        <f t="shared" ref="J33:J45" si="7">I33*4</f>
        <v>7827.02</v>
      </c>
      <c r="K33" s="187">
        <f>'SA Oct 2018'!AZ19</f>
        <v>0</v>
      </c>
      <c r="L33" s="187">
        <f>'SA Oct 2018'!BA19</f>
        <v>0</v>
      </c>
      <c r="M33" s="187">
        <f>'SA Oct 2018'!BB19</f>
        <v>0</v>
      </c>
      <c r="N33" s="187">
        <f>'SA Oct 2018'!BC19</f>
        <v>28</v>
      </c>
      <c r="O33" s="186">
        <f>J33</f>
        <v>7827.02</v>
      </c>
      <c r="P33" s="186">
        <f>O33-((I33-C33)*N33/100)*4</f>
        <v>5727.6920000000009</v>
      </c>
      <c r="Q33" s="186">
        <f t="shared" ref="Q33:R45" si="8">O33*1.1</f>
        <v>8609.7220000000016</v>
      </c>
      <c r="R33" s="186">
        <f t="shared" si="8"/>
        <v>6300.4612000000016</v>
      </c>
      <c r="S33" s="188">
        <f>'SA Oct 2018'!BJ26</f>
        <v>0</v>
      </c>
      <c r="T33" s="189" t="str">
        <f>'SA Oct 2018'!BK26</f>
        <v>n</v>
      </c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</row>
    <row r="34" spans="1:49" ht="14" x14ac:dyDescent="0.15">
      <c r="A34" s="179" t="str">
        <f>'SA Oct 2018'!K20</f>
        <v>Click Energy</v>
      </c>
      <c r="B34" s="180" t="str">
        <f>'SA Oct 2018'!L20</f>
        <v>Click Business Plus</v>
      </c>
      <c r="C34" s="181">
        <f>91*'SA Oct 2018'!M20/100</f>
        <v>75.075000000000003</v>
      </c>
      <c r="D34" s="181">
        <f>($C$27*$C$28)*'SA Oct 2018'!N20/100</f>
        <v>1610</v>
      </c>
      <c r="E34" s="181">
        <v>0</v>
      </c>
      <c r="F34" s="182">
        <f>IF($C$27*$C$28&lt;'SA Oct 2018'!P20,(0),((('SA Bills October 2018'!$C$27*'SA Bills October 2018'!$C$28)-('SA Oct 2018'!P20))*'SA Oct 2018'!Q20/100))</f>
        <v>0</v>
      </c>
      <c r="G34" s="183">
        <f>($C$27*$C$29)*'SA Oct 2018'!AF20/100</f>
        <v>588.00000000000011</v>
      </c>
      <c r="H34" s="184">
        <v>0</v>
      </c>
      <c r="I34" s="185">
        <f t="shared" si="6"/>
        <v>2273.0750000000003</v>
      </c>
      <c r="J34" s="186">
        <f t="shared" si="7"/>
        <v>9092.3000000000011</v>
      </c>
      <c r="K34" s="187">
        <f>'SA Oct 2018'!AZ20</f>
        <v>0</v>
      </c>
      <c r="L34" s="187">
        <f>'SA Oct 2018'!BA20</f>
        <v>0</v>
      </c>
      <c r="M34" s="187">
        <f>'SA Oct 2018'!BB20</f>
        <v>16</v>
      </c>
      <c r="N34" s="187">
        <f>'SA Oct 2018'!BC20</f>
        <v>0</v>
      </c>
      <c r="O34" s="186">
        <f>J34</f>
        <v>9092.3000000000011</v>
      </c>
      <c r="P34" s="186">
        <f>O34-(O34*M34/100)</f>
        <v>7637.5320000000011</v>
      </c>
      <c r="Q34" s="186">
        <f t="shared" si="8"/>
        <v>10001.530000000002</v>
      </c>
      <c r="R34" s="186">
        <f t="shared" si="8"/>
        <v>8401.2852000000021</v>
      </c>
      <c r="S34" s="188">
        <f>'SA Oct 2018'!BJ27</f>
        <v>0</v>
      </c>
      <c r="T34" s="189" t="str">
        <f>'SA Oct 2018'!BK27</f>
        <v>n</v>
      </c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</row>
    <row r="35" spans="1:49" ht="14" x14ac:dyDescent="0.15">
      <c r="A35" s="179" t="str">
        <f>'SA Oct 2018'!K21</f>
        <v>Commander</v>
      </c>
      <c r="B35" s="180" t="str">
        <f>'SA Oct 2018'!L21</f>
        <v>Market offer</v>
      </c>
      <c r="C35" s="181">
        <f>91*'SA Oct 2018'!M21/100</f>
        <v>81.444999999999993</v>
      </c>
      <c r="D35" s="181">
        <f>($C$27*$C$28)*'SA Oct 2018'!N21/100</f>
        <v>1538.25</v>
      </c>
      <c r="E35" s="181">
        <v>0</v>
      </c>
      <c r="F35" s="182">
        <f>IF($C$27*$C$28&lt;'SA Oct 2018'!P21,(0),((('SA Bills October 2018'!$C$27*'SA Bills October 2018'!$C$28)-('SA Oct 2018'!P21))*'SA Oct 2018'!Q21/100))</f>
        <v>0</v>
      </c>
      <c r="G35" s="183">
        <f>($C$27*$C$29)*'SA Oct 2018'!AF21/100</f>
        <v>355.5</v>
      </c>
      <c r="H35" s="184">
        <v>0</v>
      </c>
      <c r="I35" s="185">
        <f t="shared" si="6"/>
        <v>1975.1949999999999</v>
      </c>
      <c r="J35" s="186">
        <f t="shared" si="7"/>
        <v>7900.78</v>
      </c>
      <c r="K35" s="187">
        <f>'SA Oct 2018'!AZ21</f>
        <v>0</v>
      </c>
      <c r="L35" s="187">
        <f>'SA Oct 2018'!BA21</f>
        <v>0</v>
      </c>
      <c r="M35" s="187">
        <f>'SA Oct 2018'!BB21</f>
        <v>0</v>
      </c>
      <c r="N35" s="187">
        <f>'SA Oct 2018'!BC21</f>
        <v>20</v>
      </c>
      <c r="O35" s="186">
        <f>J35</f>
        <v>7900.78</v>
      </c>
      <c r="P35" s="186">
        <f>O35-((I35-C35)*N35/100)*4</f>
        <v>6385.78</v>
      </c>
      <c r="Q35" s="186">
        <f t="shared" si="8"/>
        <v>8690.8580000000002</v>
      </c>
      <c r="R35" s="186">
        <f t="shared" si="8"/>
        <v>7024.3580000000002</v>
      </c>
      <c r="S35" s="188">
        <f>'SA Oct 2018'!BJ28</f>
        <v>0</v>
      </c>
      <c r="T35" s="189" t="str">
        <f>'SA Oct 2018'!BK28</f>
        <v>n</v>
      </c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</row>
    <row r="36" spans="1:49" ht="14" x14ac:dyDescent="0.15">
      <c r="A36" s="179" t="str">
        <f>'SA Oct 2018'!K22</f>
        <v>Diamond Energy</v>
      </c>
      <c r="B36" s="180" t="str">
        <f>'SA Oct 2018'!L22</f>
        <v>Pay on time discount</v>
      </c>
      <c r="C36" s="181">
        <f>91*'SA Oct 2018'!M22/100</f>
        <v>90.545000000000002</v>
      </c>
      <c r="D36" s="181">
        <f>IF($C$27*$C$28&gt;='SA Oct 2018'!P22,('SA Oct 2018'!P22*'SA Oct 2018'!N22/100),($C$27*$C$28*'SA Oct 2018'!N22/100))</f>
        <v>389</v>
      </c>
      <c r="E36" s="181">
        <f>IF($C$27*$C$28&lt;'SA Oct 2018'!P22,0,IF(($C$27*$C$28-'SA Oct 2018'!P22)&lt;='SA Oct 2018'!R22,(( $C$27*$C$28-'SA Oct 2018'!P22)*'SA Oct 2018'!Q22/100),((('SA Oct 2018'!R22+'SA Oct 2018'!P22)-('SA Oct 2018'!P22))*'SA Oct 2018'!Q22/100)))</f>
        <v>599.25000000000011</v>
      </c>
      <c r="F36" s="182">
        <f>IF($C$27*$C$28&lt;'SA Oct 2018'!R22+'SA Oct 2018'!P22,(0),((('SA Bills October 2018'!$C$27*'SA Bills October 2018'!$C$28)-('SA Oct 2018'!R22+'SA Oct 2018'!P22))*'SA Oct 2018'!S22/100))</f>
        <v>409.8</v>
      </c>
      <c r="G36" s="183">
        <f>($C$27*$C$29)*'SA Oct 2018'!AF22/100</f>
        <v>299.25</v>
      </c>
      <c r="H36" s="184">
        <v>0</v>
      </c>
      <c r="I36" s="185">
        <f t="shared" si="6"/>
        <v>1787.845</v>
      </c>
      <c r="J36" s="186">
        <f t="shared" si="7"/>
        <v>7151.38</v>
      </c>
      <c r="K36" s="187">
        <f>'SA Oct 2018'!AZ22</f>
        <v>0</v>
      </c>
      <c r="L36" s="187">
        <f>'SA Oct 2018'!BA22</f>
        <v>0</v>
      </c>
      <c r="M36" s="187">
        <f>'SA Oct 2018'!BB22</f>
        <v>7</v>
      </c>
      <c r="N36" s="187">
        <f>'SA Oct 2018'!BC22</f>
        <v>0</v>
      </c>
      <c r="O36" s="186">
        <f>J36</f>
        <v>7151.38</v>
      </c>
      <c r="P36" s="186">
        <f>O36-(O36*M36/100)</f>
        <v>6650.7834000000003</v>
      </c>
      <c r="Q36" s="186">
        <f t="shared" si="8"/>
        <v>7866.5180000000009</v>
      </c>
      <c r="R36" s="186">
        <f t="shared" si="8"/>
        <v>7315.8617400000012</v>
      </c>
      <c r="S36" s="188">
        <f>'SA Oct 2018'!BJ32</f>
        <v>0</v>
      </c>
      <c r="T36" s="189" t="str">
        <f>'SA Oct 2018'!BK32</f>
        <v>n</v>
      </c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</row>
    <row r="37" spans="1:49" ht="14" x14ac:dyDescent="0.15">
      <c r="A37" s="179" t="str">
        <f>'SA Oct 2018'!K23</f>
        <v>EnergyAustralia</v>
      </c>
      <c r="B37" s="180" t="str">
        <f>'SA Oct 2018'!L23</f>
        <v>Everyday Saver Business</v>
      </c>
      <c r="C37" s="181">
        <f>91*'SA Oct 2018'!M23/100</f>
        <v>81.536000000000001</v>
      </c>
      <c r="D37" s="181">
        <f>($C$27*$C$28)*'SA Oct 2018'!N23/100</f>
        <v>1617</v>
      </c>
      <c r="E37" s="181">
        <v>0</v>
      </c>
      <c r="F37" s="182">
        <f>IF($C$27*$C$28&lt;'SA Oct 2018'!P23,(0),((('SA Bills October 2018'!$C$27*'SA Bills October 2018'!$C$28)-('SA Oct 2018'!P23))*'SA Oct 2018'!Q23/100))</f>
        <v>0</v>
      </c>
      <c r="G37" s="183">
        <f>($C$27*$C$29)*'SA Oct 2018'!AF23/100</f>
        <v>253.65</v>
      </c>
      <c r="H37" s="184">
        <v>0</v>
      </c>
      <c r="I37" s="185">
        <f t="shared" si="6"/>
        <v>1952.1860000000001</v>
      </c>
      <c r="J37" s="186">
        <f t="shared" si="7"/>
        <v>7808.7440000000006</v>
      </c>
      <c r="K37" s="187">
        <f>'SA Oct 2018'!AZ23</f>
        <v>0</v>
      </c>
      <c r="L37" s="187">
        <f>'SA Oct 2018'!BA23</f>
        <v>18</v>
      </c>
      <c r="M37" s="187">
        <f>'SA Oct 2018'!BB23</f>
        <v>0</v>
      </c>
      <c r="N37" s="187">
        <f>'SA Oct 2018'!BC23</f>
        <v>0</v>
      </c>
      <c r="O37" s="186">
        <f>J37-((I37-C37)*L37/100)*4</f>
        <v>6461.8760000000002</v>
      </c>
      <c r="P37" s="186">
        <f>O37</f>
        <v>6461.8760000000002</v>
      </c>
      <c r="Q37" s="186">
        <f t="shared" si="8"/>
        <v>7108.0636000000004</v>
      </c>
      <c r="R37" s="186">
        <f t="shared" si="8"/>
        <v>7108.0636000000004</v>
      </c>
      <c r="S37" s="188">
        <f>'SA Oct 2018'!BJ33</f>
        <v>0</v>
      </c>
      <c r="T37" s="189" t="str">
        <f>'SA Oct 2018'!BK33</f>
        <v>n</v>
      </c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</row>
    <row r="38" spans="1:49" ht="14" x14ac:dyDescent="0.15">
      <c r="A38" s="179" t="str">
        <f>'SA Oct 2018'!K24</f>
        <v>Momentum Energy</v>
      </c>
      <c r="B38" s="180" t="str">
        <f>'SA Oct 2018'!L24</f>
        <v>SmilePower</v>
      </c>
      <c r="C38" s="181">
        <f>91*'SA Oct 2018'!M24/100</f>
        <v>89.079899999999995</v>
      </c>
      <c r="D38" s="181">
        <f>IF(($C$27*$C$28)&gt;='SA Oct 2018'!P24,('SA Oct 2018'!P24*'SA Oct 2018'!N24/100),(('SA Bills October 2018'!$C$27*'SA Bills October 2018'!$C$28)*'SA Oct 2018'!N24/100))</f>
        <v>459.12</v>
      </c>
      <c r="E38" s="181">
        <v>0</v>
      </c>
      <c r="F38" s="182">
        <f>IF($C$27*$C$28&lt;'SA Oct 2018'!P24,(0),((('SA Bills October 2018'!$C$27*'SA Bills October 2018'!$C$28)-('SA Oct 2018'!P24))*'SA Oct 2018'!Q24/100))</f>
        <v>879.98</v>
      </c>
      <c r="G38" s="183">
        <f>($C$27*$C$29)*'SA Oct 2018'!AF24/100</f>
        <v>337.5</v>
      </c>
      <c r="H38" s="184">
        <v>0</v>
      </c>
      <c r="I38" s="185">
        <f t="shared" si="6"/>
        <v>1765.6799000000001</v>
      </c>
      <c r="J38" s="186">
        <f t="shared" si="7"/>
        <v>7062.7196000000004</v>
      </c>
      <c r="K38" s="187">
        <f>'SA Oct 2018'!AZ24</f>
        <v>0</v>
      </c>
      <c r="L38" s="187">
        <f>'SA Oct 2018'!BA24</f>
        <v>0</v>
      </c>
      <c r="M38" s="187">
        <f>'SA Oct 2018'!BB24</f>
        <v>0</v>
      </c>
      <c r="N38" s="187">
        <f>'SA Oct 2018'!BC24</f>
        <v>0</v>
      </c>
      <c r="O38" s="186">
        <f t="shared" ref="O38" si="9">J38</f>
        <v>7062.7196000000004</v>
      </c>
      <c r="P38" s="186">
        <f t="shared" ref="P38" si="10">O38</f>
        <v>7062.7196000000004</v>
      </c>
      <c r="Q38" s="186">
        <f t="shared" si="8"/>
        <v>7768.9915600000013</v>
      </c>
      <c r="R38" s="186">
        <f t="shared" si="8"/>
        <v>7768.9915600000013</v>
      </c>
      <c r="S38" s="188">
        <v>36</v>
      </c>
      <c r="T38" s="189" t="s">
        <v>174</v>
      </c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</row>
    <row r="39" spans="1:49" ht="14" x14ac:dyDescent="0.15">
      <c r="A39" s="179" t="str">
        <f>'SA Oct 2018'!K25</f>
        <v>Origin Energy</v>
      </c>
      <c r="B39" s="180" t="str">
        <f>'SA Oct 2018'!L25</f>
        <v>Business Saver</v>
      </c>
      <c r="C39" s="181">
        <f>91*'SA Oct 2018'!M25/100</f>
        <v>81.608800000000016</v>
      </c>
      <c r="D39" s="181">
        <f>($C$27*$C$28)*'SA Oct 2018'!N25/100</f>
        <v>1391.95</v>
      </c>
      <c r="E39" s="181">
        <v>0</v>
      </c>
      <c r="F39" s="182">
        <f>IF($C$27*$C$28&lt;'SA Oct 2018'!P25,(0),((('SA Bills October 2018'!$C$27*'SA Bills October 2018'!$C$28)-('SA Oct 2018'!P25))*'SA Oct 2018'!Q25/100))</f>
        <v>0</v>
      </c>
      <c r="G39" s="183">
        <f>($C$27*$C$29)*'SA Oct 2018'!AF25/100</f>
        <v>285.89999999999998</v>
      </c>
      <c r="H39" s="184">
        <v>0</v>
      </c>
      <c r="I39" s="185">
        <f t="shared" si="6"/>
        <v>1759.4587999999999</v>
      </c>
      <c r="J39" s="186">
        <f t="shared" si="7"/>
        <v>7037.8351999999995</v>
      </c>
      <c r="K39" s="187">
        <f>'SA Oct 2018'!AZ25</f>
        <v>0</v>
      </c>
      <c r="L39" s="187">
        <f>'SA Oct 2018'!BA25</f>
        <v>16</v>
      </c>
      <c r="M39" s="187">
        <f>'SA Oct 2018'!BB25</f>
        <v>0</v>
      </c>
      <c r="N39" s="187">
        <f>'SA Oct 2018'!BC25</f>
        <v>0</v>
      </c>
      <c r="O39" s="186">
        <f>J39-((I39-C39)*L39/100)*4</f>
        <v>5964.0111999999999</v>
      </c>
      <c r="P39" s="186">
        <f>O39</f>
        <v>5964.0111999999999</v>
      </c>
      <c r="Q39" s="186">
        <f t="shared" si="8"/>
        <v>6560.4123200000004</v>
      </c>
      <c r="R39" s="186">
        <f t="shared" si="8"/>
        <v>6560.4123200000004</v>
      </c>
      <c r="S39" s="188">
        <v>12</v>
      </c>
      <c r="T39" s="189" t="s">
        <v>175</v>
      </c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</row>
    <row r="40" spans="1:49" ht="14" x14ac:dyDescent="0.15">
      <c r="A40" s="179" t="str">
        <f>'SA Oct 2018'!K26</f>
        <v>Powerdirect</v>
      </c>
      <c r="B40" s="180" t="str">
        <f>'SA Oct 2018'!L26</f>
        <v>Market offer</v>
      </c>
      <c r="C40" s="181">
        <f>91*'SA Oct 2018'!M26/100</f>
        <v>82.81</v>
      </c>
      <c r="D40" s="181">
        <f>($C$27*$C$28)*'SA Oct 2018'!N26/100</f>
        <v>1501.5</v>
      </c>
      <c r="E40" s="181">
        <v>0</v>
      </c>
      <c r="F40" s="182">
        <f>IF($C$27*$C$28&lt;'SA Oct 2018'!P26,(0),((('SA Bills October 2018'!$C$27*'SA Bills October 2018'!$C$28)-('SA Oct 2018'!P26))*'SA Oct 2018'!Q26/100))</f>
        <v>0</v>
      </c>
      <c r="G40" s="183">
        <f>($C$27*$C$29)*'SA Oct 2018'!AF26/100</f>
        <v>328.5</v>
      </c>
      <c r="H40" s="184">
        <v>0</v>
      </c>
      <c r="I40" s="185">
        <f t="shared" si="6"/>
        <v>1912.81</v>
      </c>
      <c r="J40" s="186">
        <f t="shared" si="7"/>
        <v>7651.24</v>
      </c>
      <c r="K40" s="187">
        <f>'SA Oct 2018'!AZ26</f>
        <v>0</v>
      </c>
      <c r="L40" s="187">
        <f>'SA Oct 2018'!BA26</f>
        <v>16</v>
      </c>
      <c r="M40" s="187">
        <f>'SA Oct 2018'!BB26</f>
        <v>0</v>
      </c>
      <c r="N40" s="187">
        <f>'SA Oct 2018'!BC26</f>
        <v>0</v>
      </c>
      <c r="O40" s="186">
        <f>J40-((I40-C40)*L40/100)*4</f>
        <v>6480.04</v>
      </c>
      <c r="P40" s="186">
        <f t="shared" ref="P40" si="11">O40</f>
        <v>6480.04</v>
      </c>
      <c r="Q40" s="186">
        <f t="shared" si="8"/>
        <v>7128.0440000000008</v>
      </c>
      <c r="R40" s="186">
        <f t="shared" si="8"/>
        <v>7128.0440000000008</v>
      </c>
      <c r="S40" s="188">
        <v>0</v>
      </c>
      <c r="T40" s="189" t="s">
        <v>174</v>
      </c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</row>
    <row r="41" spans="1:49" ht="14" x14ac:dyDescent="0.15">
      <c r="A41" s="179" t="str">
        <f>'SA Oct 2018'!K27</f>
        <v>Red Energy</v>
      </c>
      <c r="B41" s="180" t="str">
        <f>'SA Oct 2018'!L27</f>
        <v>No exit fee saver</v>
      </c>
      <c r="C41" s="181">
        <f>91*'SA Oct 2018'!M27/100</f>
        <v>91.454999999999998</v>
      </c>
      <c r="D41" s="181">
        <f>IF(($C$27*$C$28)&gt;='SA Oct 2018'!P27,('SA Oct 2018'!P27*'SA Oct 2018'!N27/100),(('SA Bills October 2018'!$C$27*'SA Bills October 2018'!$C$28)*'SA Oct 2018'!N27/100))</f>
        <v>997.5</v>
      </c>
      <c r="E41" s="181">
        <v>0</v>
      </c>
      <c r="F41" s="182">
        <f>IF($C$27*$C$28&lt;'SA Oct 2018'!P27,(0),((('SA Bills October 2018'!$C$27*'SA Bills October 2018'!$C$28)-('SA Oct 2018'!P27))*'SA Oct 2018'!Q27/100))</f>
        <v>420</v>
      </c>
      <c r="G41" s="183">
        <f>($C$27*$C$29)*'SA Oct 2018'!AF27/100</f>
        <v>290.25000000000006</v>
      </c>
      <c r="H41" s="184">
        <v>0</v>
      </c>
      <c r="I41" s="185">
        <f t="shared" si="6"/>
        <v>1799.2049999999999</v>
      </c>
      <c r="J41" s="186">
        <f t="shared" si="7"/>
        <v>7196.82</v>
      </c>
      <c r="K41" s="187">
        <f>'SA Oct 2018'!AZ27</f>
        <v>0</v>
      </c>
      <c r="L41" s="187">
        <f>'SA Oct 2018'!BA27</f>
        <v>0</v>
      </c>
      <c r="M41" s="187">
        <f>'SA Oct 2018'!BB27</f>
        <v>10</v>
      </c>
      <c r="N41" s="187">
        <f>'SA Oct 2018'!BC27</f>
        <v>0</v>
      </c>
      <c r="O41" s="186">
        <f>J41</f>
        <v>7196.82</v>
      </c>
      <c r="P41" s="186">
        <f>O41-(O41*M41/100)</f>
        <v>6477.1379999999999</v>
      </c>
      <c r="Q41" s="186">
        <f t="shared" si="8"/>
        <v>7916.5020000000004</v>
      </c>
      <c r="R41" s="186">
        <f t="shared" si="8"/>
        <v>7124.8518000000004</v>
      </c>
      <c r="S41" s="188">
        <v>0</v>
      </c>
      <c r="T41" s="189" t="s">
        <v>174</v>
      </c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</row>
    <row r="42" spans="1:49" ht="14" x14ac:dyDescent="0.15">
      <c r="A42" s="179" t="str">
        <f>'SA Oct 2018'!K28</f>
        <v>Simply Energy</v>
      </c>
      <c r="B42" s="180" t="str">
        <f>'SA Oct 2018'!L28</f>
        <v>Business Plus</v>
      </c>
      <c r="C42" s="181">
        <f>91*'SA Oct 2018'!M28/100</f>
        <v>78.605800000000002</v>
      </c>
      <c r="D42" s="181">
        <f>($C$27*$C$28)*'SA Oct 2018'!N28/100</f>
        <v>1411.9</v>
      </c>
      <c r="E42" s="181">
        <v>0</v>
      </c>
      <c r="F42" s="182">
        <f>IF($C$27*$C$28&lt;'SA Oct 2018'!P28,(0),((('SA Bills October 2018'!$C$27*'SA Bills October 2018'!$C$28)-('SA Oct 2018'!P28))*'SA Oct 2018'!Q28/100))</f>
        <v>0</v>
      </c>
      <c r="G42" s="183">
        <f>($C$27*$C$29)*'SA Oct 2018'!AF28/100</f>
        <v>412.35</v>
      </c>
      <c r="H42" s="184">
        <v>0</v>
      </c>
      <c r="I42" s="185">
        <f t="shared" si="6"/>
        <v>1902.8558000000003</v>
      </c>
      <c r="J42" s="186">
        <f t="shared" si="7"/>
        <v>7611.4232000000011</v>
      </c>
      <c r="K42" s="187">
        <f>'SA Oct 2018'!AZ28</f>
        <v>0</v>
      </c>
      <c r="L42" s="187">
        <f>'SA Oct 2018'!BA28</f>
        <v>15</v>
      </c>
      <c r="M42" s="187">
        <f>'SA Oct 2018'!BB28</f>
        <v>0</v>
      </c>
      <c r="N42" s="187">
        <f>'SA Oct 2018'!BC28</f>
        <v>0</v>
      </c>
      <c r="O42" s="186">
        <f>J42-((I42-C42)*L42/100)*4</f>
        <v>6516.8732000000009</v>
      </c>
      <c r="P42" s="186">
        <f>O42</f>
        <v>6516.8732000000009</v>
      </c>
      <c r="Q42" s="186">
        <f t="shared" si="8"/>
        <v>7168.5605200000018</v>
      </c>
      <c r="R42" s="186">
        <f t="shared" si="8"/>
        <v>7168.5605200000018</v>
      </c>
      <c r="S42" s="188">
        <v>24</v>
      </c>
      <c r="T42" s="189" t="s">
        <v>175</v>
      </c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</row>
    <row r="43" spans="1:49" ht="14" x14ac:dyDescent="0.15">
      <c r="A43" s="179" t="str">
        <f>'SA Oct 2018'!K29</f>
        <v>Blue NRG</v>
      </c>
      <c r="B43" s="180" t="str">
        <f>'SA Oct 2018'!L29</f>
        <v>Super Saver</v>
      </c>
      <c r="C43" s="181">
        <f>91*'SA Oct 2018'!M29/100</f>
        <v>101.01</v>
      </c>
      <c r="D43" s="181">
        <f>($C$27*$C$28)*'SA Oct 2018'!N29/100</f>
        <v>1190</v>
      </c>
      <c r="E43" s="181">
        <v>0</v>
      </c>
      <c r="F43" s="182">
        <f>IF($C$27*$C$28&lt;'SA Oct 2018'!P29,(0),((('SA Bills October 2018'!$C$27*'SA Bills October 2018'!$C$28)-('SA Oct 2018'!P29))*'SA Oct 2018'!Q29/100))</f>
        <v>0</v>
      </c>
      <c r="G43" s="183">
        <f>($C$27*$C$29)*'SA Oct 2018'!AF29/100</f>
        <v>375</v>
      </c>
      <c r="H43" s="184">
        <v>0</v>
      </c>
      <c r="I43" s="185">
        <f t="shared" si="6"/>
        <v>1666.01</v>
      </c>
      <c r="J43" s="186">
        <f t="shared" si="7"/>
        <v>6664.04</v>
      </c>
      <c r="K43" s="187">
        <f>'SA Oct 2018'!AZ29</f>
        <v>0</v>
      </c>
      <c r="L43" s="187">
        <f>'SA Oct 2018'!BA29</f>
        <v>0</v>
      </c>
      <c r="M43" s="187">
        <f>'SA Oct 2018'!BB29</f>
        <v>0</v>
      </c>
      <c r="N43" s="187">
        <f>'SA Oct 2018'!BC29</f>
        <v>0</v>
      </c>
      <c r="O43" s="186">
        <f>J43</f>
        <v>6664.04</v>
      </c>
      <c r="P43" s="186">
        <f t="shared" ref="P43:P44" si="12">O43</f>
        <v>6664.04</v>
      </c>
      <c r="Q43" s="186">
        <f t="shared" si="8"/>
        <v>7330.4440000000004</v>
      </c>
      <c r="R43" s="186">
        <f t="shared" si="8"/>
        <v>7330.4440000000004</v>
      </c>
      <c r="S43" s="188">
        <v>25</v>
      </c>
      <c r="T43" s="189" t="s">
        <v>175</v>
      </c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</row>
    <row r="44" spans="1:49" ht="14" x14ac:dyDescent="0.15">
      <c r="A44" s="179" t="str">
        <f>'SA Oct 2018'!K30</f>
        <v>Q Energy</v>
      </c>
      <c r="B44" s="180" t="str">
        <f>'SA Oct 2018'!L30</f>
        <v>Flexi Saver Biz</v>
      </c>
      <c r="C44" s="181">
        <f>91*'SA Oct 2018'!M30/100</f>
        <v>72.8</v>
      </c>
      <c r="D44" s="181">
        <f>($C$27*$C$28)*'SA Oct 2018'!N30/100</f>
        <v>1108.8</v>
      </c>
      <c r="E44" s="181">
        <v>0</v>
      </c>
      <c r="F44" s="182">
        <f>IF($C$27*$C$28&lt;'SA Oct 2018'!P30,(0),((('SA Bills October 2018'!$C$27*'SA Bills October 2018'!$C$28)-('SA Oct 2018'!P30))*'SA Oct 2018'!Q30/100))</f>
        <v>0</v>
      </c>
      <c r="G44" s="183">
        <f>($C$27*$C$29)*'SA Oct 2018'!AF30/100</f>
        <v>204.19499999999999</v>
      </c>
      <c r="H44" s="184">
        <v>0</v>
      </c>
      <c r="I44" s="185">
        <f t="shared" si="6"/>
        <v>1385.7949999999998</v>
      </c>
      <c r="J44" s="186">
        <f t="shared" si="7"/>
        <v>5543.1799999999994</v>
      </c>
      <c r="K44" s="187">
        <f>'SA Oct 2018'!AZ30</f>
        <v>0</v>
      </c>
      <c r="L44" s="187">
        <f>'SA Oct 2018'!BA30</f>
        <v>0</v>
      </c>
      <c r="M44" s="187">
        <f>'SA Oct 2018'!BB30</f>
        <v>0</v>
      </c>
      <c r="N44" s="187">
        <f>'SA Oct 2018'!BC30</f>
        <v>0</v>
      </c>
      <c r="O44" s="186">
        <f>J44</f>
        <v>5543.1799999999994</v>
      </c>
      <c r="P44" s="186">
        <f t="shared" si="12"/>
        <v>5543.1799999999994</v>
      </c>
      <c r="Q44" s="186">
        <f t="shared" si="8"/>
        <v>6097.4979999999996</v>
      </c>
      <c r="R44" s="186">
        <f t="shared" si="8"/>
        <v>6097.4979999999996</v>
      </c>
      <c r="S44" s="188">
        <v>26</v>
      </c>
      <c r="T44" s="189" t="s">
        <v>175</v>
      </c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</row>
    <row r="45" spans="1:49" ht="15" thickBot="1" x14ac:dyDescent="0.2">
      <c r="A45" s="191" t="str">
        <f>'SA Oct 2018'!K31</f>
        <v>Amaysim</v>
      </c>
      <c r="B45" s="207" t="str">
        <f>'SA Oct 2018'!L31</f>
        <v>Business 1</v>
      </c>
      <c r="C45" s="193">
        <f>91*'SA Oct 2018'!M31/100</f>
        <v>75.075000000000003</v>
      </c>
      <c r="D45" s="193">
        <f>($C$27*$C$28)*'SA Oct 2018'!N31/100</f>
        <v>1610</v>
      </c>
      <c r="E45" s="193">
        <v>0</v>
      </c>
      <c r="F45" s="208">
        <f>IF($C$27*$C$28&lt;'SA Oct 2018'!P31,(0),((('SA Bills October 2018'!$C$27*'SA Bills October 2018'!$C$28)-('SA Oct 2018'!P31))*'SA Oct 2018'!Q31/100))</f>
        <v>0</v>
      </c>
      <c r="G45" s="194">
        <f>($C$27*$C$29)*'SA Oct 2018'!AF31/100</f>
        <v>588.00000000000011</v>
      </c>
      <c r="H45" s="209">
        <v>1</v>
      </c>
      <c r="I45" s="195">
        <f t="shared" si="6"/>
        <v>2273.0750000000003</v>
      </c>
      <c r="J45" s="196">
        <f t="shared" si="7"/>
        <v>9092.3000000000011</v>
      </c>
      <c r="K45" s="197">
        <f>'SA Oct 2018'!AZ31</f>
        <v>0</v>
      </c>
      <c r="L45" s="197">
        <f>'SA Oct 2018'!BA31</f>
        <v>0</v>
      </c>
      <c r="M45" s="197">
        <f>'SA Oct 2018'!BB31</f>
        <v>16</v>
      </c>
      <c r="N45" s="197">
        <f>'SA Oct 2018'!BC31</f>
        <v>0</v>
      </c>
      <c r="O45" s="196">
        <f>J45</f>
        <v>9092.3000000000011</v>
      </c>
      <c r="P45" s="196">
        <f>O45-(O45*M45/100)</f>
        <v>7637.5320000000011</v>
      </c>
      <c r="Q45" s="196">
        <f t="shared" si="8"/>
        <v>10001.530000000002</v>
      </c>
      <c r="R45" s="196">
        <f t="shared" si="8"/>
        <v>8401.2852000000021</v>
      </c>
      <c r="S45" s="198">
        <v>27</v>
      </c>
      <c r="T45" s="199" t="s">
        <v>175</v>
      </c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</row>
    <row r="46" spans="1:49" ht="14" x14ac:dyDescent="0.15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</row>
    <row r="47" spans="1:49" ht="15" thickBot="1" x14ac:dyDescent="0.2">
      <c r="A47" s="161"/>
      <c r="B47" s="161"/>
      <c r="C47" s="161"/>
      <c r="D47" s="161"/>
      <c r="E47" s="161"/>
      <c r="F47" s="164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4"/>
      <c r="R47" s="164"/>
      <c r="S47" s="164"/>
      <c r="T47" s="164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</row>
    <row r="48" spans="1:49" ht="14" x14ac:dyDescent="0.15">
      <c r="A48" s="165" t="s">
        <v>176</v>
      </c>
      <c r="B48" s="166"/>
      <c r="C48" s="166"/>
      <c r="D48" s="166"/>
      <c r="E48" s="166"/>
      <c r="F48" s="210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8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</row>
    <row r="49" spans="1:49" ht="14" x14ac:dyDescent="0.15">
      <c r="A49" s="169" t="s">
        <v>197</v>
      </c>
      <c r="B49" s="134"/>
      <c r="C49" s="170">
        <v>5000</v>
      </c>
      <c r="D49" s="134"/>
      <c r="E49" s="134"/>
      <c r="F49" s="211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72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</row>
    <row r="50" spans="1:49" ht="14" x14ac:dyDescent="0.15">
      <c r="A50" s="169" t="s">
        <v>85</v>
      </c>
      <c r="B50" s="134"/>
      <c r="C50" s="206">
        <v>0.7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</row>
    <row r="51" spans="1:49" ht="14" x14ac:dyDescent="0.15">
      <c r="A51" s="169" t="s">
        <v>172</v>
      </c>
      <c r="B51" s="134"/>
      <c r="C51" s="206">
        <v>0.3</v>
      </c>
      <c r="D51" s="134"/>
      <c r="E51" s="134"/>
      <c r="F51" s="211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</row>
    <row r="52" spans="1:49" ht="14" x14ac:dyDescent="0.15">
      <c r="A52" s="169"/>
      <c r="B52" s="134"/>
      <c r="C52" s="134"/>
      <c r="D52" s="134"/>
      <c r="E52" s="134"/>
      <c r="F52" s="212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72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</row>
    <row r="53" spans="1:49" ht="75" x14ac:dyDescent="0.15">
      <c r="A53" s="230" t="s">
        <v>216</v>
      </c>
      <c r="B53" s="232" t="s">
        <v>198</v>
      </c>
      <c r="C53" s="173" t="s">
        <v>199</v>
      </c>
      <c r="D53" s="173" t="s">
        <v>200</v>
      </c>
      <c r="E53" s="173" t="s">
        <v>201</v>
      </c>
      <c r="F53" s="173" t="s">
        <v>202</v>
      </c>
      <c r="G53" s="173" t="s">
        <v>164</v>
      </c>
      <c r="H53" s="173" t="s">
        <v>173</v>
      </c>
      <c r="I53" s="173" t="s">
        <v>165</v>
      </c>
      <c r="J53" s="174" t="s">
        <v>166</v>
      </c>
      <c r="K53" s="175" t="s">
        <v>167</v>
      </c>
      <c r="L53" s="175" t="s">
        <v>168</v>
      </c>
      <c r="M53" s="175" t="s">
        <v>169</v>
      </c>
      <c r="N53" s="175" t="s">
        <v>170</v>
      </c>
      <c r="O53" s="176" t="s">
        <v>579</v>
      </c>
      <c r="P53" s="176" t="s">
        <v>580</v>
      </c>
      <c r="Q53" s="176" t="s">
        <v>227</v>
      </c>
      <c r="R53" s="176" t="s">
        <v>272</v>
      </c>
      <c r="S53" s="175" t="s">
        <v>82</v>
      </c>
      <c r="T53" s="177" t="s">
        <v>83</v>
      </c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</row>
    <row r="54" spans="1:49" ht="14" x14ac:dyDescent="0.15">
      <c r="A54" s="179" t="str">
        <f>'SA Oct 2018'!K32</f>
        <v>AGL</v>
      </c>
      <c r="B54" s="180" t="str">
        <f>'SA Oct 2018'!L32</f>
        <v xml:space="preserve">Business Savers </v>
      </c>
      <c r="C54" s="181">
        <f>91*'SA Oct 2018'!M32/100</f>
        <v>82.81</v>
      </c>
      <c r="D54" s="181">
        <f>($C$49*$C$50)*'SA Oct 2018'!N32/100</f>
        <v>1501.5</v>
      </c>
      <c r="E54" s="181">
        <v>0</v>
      </c>
      <c r="F54" s="182">
        <v>0</v>
      </c>
      <c r="G54" s="183">
        <v>0</v>
      </c>
      <c r="H54" s="184">
        <f>($C$49*$C$51)*'SA Oct 2018'!W32/100</f>
        <v>418.5</v>
      </c>
      <c r="I54" s="185">
        <f>SUM(C54:H54)</f>
        <v>2002.81</v>
      </c>
      <c r="J54" s="186">
        <f>I54*4</f>
        <v>8011.24</v>
      </c>
      <c r="K54" s="187">
        <f>'SA Oct 2018'!AZ32</f>
        <v>0</v>
      </c>
      <c r="L54" s="187">
        <f>'SA Oct 2018'!BA32</f>
        <v>16</v>
      </c>
      <c r="M54" s="187">
        <f>'SA Oct 2018'!BB32</f>
        <v>0</v>
      </c>
      <c r="N54" s="187">
        <f>'SA Oct 2018'!BC32</f>
        <v>0</v>
      </c>
      <c r="O54" s="186">
        <f>J54-((I54-C54)*L54/100)*4</f>
        <v>6782.44</v>
      </c>
      <c r="P54" s="186">
        <f>O54</f>
        <v>6782.44</v>
      </c>
      <c r="Q54" s="186">
        <f>O54*1.1</f>
        <v>7460.6840000000002</v>
      </c>
      <c r="R54" s="186">
        <f>P54*1.1</f>
        <v>7460.6840000000002</v>
      </c>
      <c r="S54" s="188">
        <f>'SA Oct 2018'!BJ32</f>
        <v>0</v>
      </c>
      <c r="T54" s="189" t="str">
        <f>'SA Oct 2018'!BK32</f>
        <v>n</v>
      </c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1:49" ht="14" x14ac:dyDescent="0.15">
      <c r="A55" s="179" t="str">
        <f>'SA Oct 2018'!K33</f>
        <v>Alinta Energy</v>
      </c>
      <c r="B55" s="180" t="str">
        <f>'SA Oct 2018'!L33</f>
        <v>Business Saver</v>
      </c>
      <c r="C55" s="181">
        <f>91*'SA Oct 2018'!M33/100</f>
        <v>82.355000000000004</v>
      </c>
      <c r="D55" s="181">
        <f>($C$49*$C$50)*'SA Oct 2018'!N33/100</f>
        <v>1779.75</v>
      </c>
      <c r="E55" s="181">
        <v>0</v>
      </c>
      <c r="F55" s="182">
        <v>0</v>
      </c>
      <c r="G55" s="183">
        <v>0</v>
      </c>
      <c r="H55" s="184">
        <f>($C$49*$C$51)*'SA Oct 2018'!W33/100</f>
        <v>455.4</v>
      </c>
      <c r="I55" s="185">
        <f t="shared" ref="I55:I68" si="13">SUM(C55:H55)</f>
        <v>2317.5050000000001</v>
      </c>
      <c r="J55" s="186">
        <f t="shared" ref="J55:J68" si="14">I55*4</f>
        <v>9270.02</v>
      </c>
      <c r="K55" s="187">
        <f>'SA Oct 2018'!AZ33</f>
        <v>0</v>
      </c>
      <c r="L55" s="187">
        <f>'SA Oct 2018'!BA33</f>
        <v>0</v>
      </c>
      <c r="M55" s="187">
        <f>'SA Oct 2018'!BB33</f>
        <v>0</v>
      </c>
      <c r="N55" s="187">
        <f>'SA Oct 2018'!BC33</f>
        <v>28</v>
      </c>
      <c r="O55" s="186">
        <f>J55</f>
        <v>9270.02</v>
      </c>
      <c r="P55" s="186">
        <f>O55-((I55-C55)*N55/100)*4</f>
        <v>6766.652</v>
      </c>
      <c r="Q55" s="186">
        <f t="shared" ref="Q55:R68" si="15">O55*1.1</f>
        <v>10197.022000000001</v>
      </c>
      <c r="R55" s="186">
        <f t="shared" si="15"/>
        <v>7443.3172000000004</v>
      </c>
      <c r="S55" s="188">
        <f>'SA Oct 2018'!BJ33</f>
        <v>0</v>
      </c>
      <c r="T55" s="189" t="str">
        <f>'SA Oct 2018'!BK33</f>
        <v>n</v>
      </c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</row>
    <row r="56" spans="1:49" ht="14" x14ac:dyDescent="0.15">
      <c r="A56" s="179" t="str">
        <f>'SA Oct 2018'!K34</f>
        <v>Click Energy</v>
      </c>
      <c r="B56" s="180" t="str">
        <f>'SA Oct 2018'!L34</f>
        <v>Click Business Plus</v>
      </c>
      <c r="C56" s="181">
        <f>91*'SA Oct 2018'!M34/100</f>
        <v>75.075000000000003</v>
      </c>
      <c r="D56" s="181">
        <f>($C$49*$C$50)*'SA Oct 2018'!N34/100</f>
        <v>1676.5</v>
      </c>
      <c r="E56" s="181">
        <v>0</v>
      </c>
      <c r="F56" s="182">
        <v>0</v>
      </c>
      <c r="G56" s="183">
        <v>0</v>
      </c>
      <c r="H56" s="184">
        <f>($C$49*$C$51)*'SA Oct 2018'!W34/100</f>
        <v>595.50000000000011</v>
      </c>
      <c r="I56" s="185">
        <f t="shared" si="13"/>
        <v>2347.0750000000003</v>
      </c>
      <c r="J56" s="186">
        <f t="shared" si="14"/>
        <v>9388.3000000000011</v>
      </c>
      <c r="K56" s="187">
        <f>'SA Oct 2018'!AZ34</f>
        <v>0</v>
      </c>
      <c r="L56" s="187">
        <f>'SA Oct 2018'!BA34</f>
        <v>0</v>
      </c>
      <c r="M56" s="187">
        <f>'SA Oct 2018'!BB34</f>
        <v>16</v>
      </c>
      <c r="N56" s="187">
        <f>'SA Oct 2018'!BC34</f>
        <v>0</v>
      </c>
      <c r="O56" s="186">
        <f>J56</f>
        <v>9388.3000000000011</v>
      </c>
      <c r="P56" s="186">
        <f>O56-(O56*M56/100)</f>
        <v>7886.1720000000005</v>
      </c>
      <c r="Q56" s="186">
        <f t="shared" si="15"/>
        <v>10327.130000000003</v>
      </c>
      <c r="R56" s="186">
        <f t="shared" si="15"/>
        <v>8674.7892000000011</v>
      </c>
      <c r="S56" s="188">
        <f>'SA Oct 2018'!BJ34</f>
        <v>0</v>
      </c>
      <c r="T56" s="189" t="str">
        <f>'SA Oct 2018'!BK34</f>
        <v>n</v>
      </c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</row>
    <row r="57" spans="1:49" ht="14" x14ac:dyDescent="0.15">
      <c r="A57" s="179" t="str">
        <f>'SA Oct 2018'!K35</f>
        <v>Commander</v>
      </c>
      <c r="B57" s="180" t="str">
        <f>'SA Oct 2018'!L35</f>
        <v>Market offer</v>
      </c>
      <c r="C57" s="181">
        <f>91*'SA Oct 2018'!M35/100</f>
        <v>81.444999999999993</v>
      </c>
      <c r="D57" s="181">
        <f>($C$49*$C$50)*'SA Oct 2018'!N35/100</f>
        <v>1704.5</v>
      </c>
      <c r="E57" s="181">
        <v>0</v>
      </c>
      <c r="F57" s="182">
        <v>0</v>
      </c>
      <c r="G57" s="183">
        <v>0</v>
      </c>
      <c r="H57" s="184">
        <f>($C$49*$C$51)*'SA Oct 2018'!W35/100</f>
        <v>464.25</v>
      </c>
      <c r="I57" s="185">
        <f t="shared" si="13"/>
        <v>2250.1949999999997</v>
      </c>
      <c r="J57" s="186">
        <f t="shared" si="14"/>
        <v>9000.7799999999988</v>
      </c>
      <c r="K57" s="187">
        <f>'SA Oct 2018'!AZ35</f>
        <v>0</v>
      </c>
      <c r="L57" s="187">
        <f>'SA Oct 2018'!BA35</f>
        <v>0</v>
      </c>
      <c r="M57" s="187">
        <f>'SA Oct 2018'!BB35</f>
        <v>0</v>
      </c>
      <c r="N57" s="187">
        <f>'SA Oct 2018'!BC35</f>
        <v>20</v>
      </c>
      <c r="O57" s="186">
        <f>J57</f>
        <v>9000.7799999999988</v>
      </c>
      <c r="P57" s="186">
        <f>O57-((I57-C57)*N57/100)*4</f>
        <v>7265.7799999999988</v>
      </c>
      <c r="Q57" s="186">
        <f t="shared" si="15"/>
        <v>9900.8580000000002</v>
      </c>
      <c r="R57" s="186">
        <f t="shared" si="15"/>
        <v>7992.3579999999993</v>
      </c>
      <c r="S57" s="188">
        <f>'SA Oct 2018'!BJ35</f>
        <v>0</v>
      </c>
      <c r="T57" s="189" t="str">
        <f>'SA Oct 2018'!BK35</f>
        <v>n</v>
      </c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</row>
    <row r="58" spans="1:49" ht="14" x14ac:dyDescent="0.15">
      <c r="A58" s="179" t="str">
        <f>'SA Oct 2018'!K36</f>
        <v>Diamond Energy</v>
      </c>
      <c r="B58" s="180" t="str">
        <f>'SA Oct 2018'!L36</f>
        <v>Pay on time discount</v>
      </c>
      <c r="C58" s="181">
        <f>91*'SA Oct 2018'!M36/100</f>
        <v>90.545000000000002</v>
      </c>
      <c r="D58" s="181">
        <f>IF(C49*C50&gt;='SA Oct 2018'!P36,('SA Oct 2018'!P36*'SA Oct 2018'!N36/100),((C49*C50)*'SA Oct 2018'!N36/100))</f>
        <v>419</v>
      </c>
      <c r="E58" s="181">
        <f>IF($C49*C50&lt;'SA Oct 2018'!P36,0,IF(($C49*C50-'SA Oct 2018'!P36)&lt;='SA Oct 2018'!R36,(($C49*C50-'SA Oct 2018'!P36)*'SA Oct 2018'!Q36/100),((('SA Oct 2018'!R36+'SA Oct 2018'!P36)-('SA Oct 2018'!P36))*'SA Oct 2018'!Q36/100)))</f>
        <v>639</v>
      </c>
      <c r="F58" s="182">
        <v>0</v>
      </c>
      <c r="G58" s="183">
        <f>IF(($C$49*$C$50&lt;'SA Oct 2018'!R36+'SA Oct 2018'!P36),(0),((('SA Bills October 2018'!$C$49*'SA Bills October 2018'!$C$50)-('SA Oct 2018'!R36+'SA Oct 2018'!P36))*'SA Oct 2018'!S36/100))</f>
        <v>449</v>
      </c>
      <c r="H58" s="184">
        <f>($C$49*$C$51)*'SA Oct 2018'!W36/100</f>
        <v>419.25</v>
      </c>
      <c r="I58" s="185">
        <f t="shared" si="13"/>
        <v>2016.7950000000001</v>
      </c>
      <c r="J58" s="186">
        <f t="shared" si="14"/>
        <v>8067.18</v>
      </c>
      <c r="K58" s="187">
        <f>'SA Oct 2018'!AZ36</f>
        <v>0</v>
      </c>
      <c r="L58" s="187">
        <f>'SA Oct 2018'!BA36</f>
        <v>0</v>
      </c>
      <c r="M58" s="187">
        <f>'SA Oct 2018'!BB36</f>
        <v>7</v>
      </c>
      <c r="N58" s="187">
        <f>'SA Oct 2018'!BC36</f>
        <v>0</v>
      </c>
      <c r="O58" s="186">
        <f>J58</f>
        <v>8067.18</v>
      </c>
      <c r="P58" s="186">
        <f>O58-(O58*M58/100)</f>
        <v>7502.4773999999998</v>
      </c>
      <c r="Q58" s="186">
        <f t="shared" si="15"/>
        <v>8873.898000000001</v>
      </c>
      <c r="R58" s="186">
        <f t="shared" si="15"/>
        <v>8252.7251400000005</v>
      </c>
      <c r="S58" s="188">
        <f>'SA Oct 2018'!BJ36</f>
        <v>24</v>
      </c>
      <c r="T58" s="189" t="str">
        <f>'SA Oct 2018'!BK36</f>
        <v>y</v>
      </c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</row>
    <row r="59" spans="1:49" ht="14" x14ac:dyDescent="0.15">
      <c r="A59" s="179" t="str">
        <f>'SA Oct 2018'!K37</f>
        <v>EnergyAustralia</v>
      </c>
      <c r="B59" s="180" t="str">
        <f>'SA Oct 2018'!L37</f>
        <v>Everyday Saver Business</v>
      </c>
      <c r="C59" s="181">
        <f>91*'SA Oct 2018'!M37/100</f>
        <v>81.536000000000001</v>
      </c>
      <c r="D59" s="181">
        <f>($C$49*$C$50)*'SA Oct 2018'!N37/100</f>
        <v>1834.7</v>
      </c>
      <c r="E59" s="181">
        <v>0</v>
      </c>
      <c r="F59" s="182">
        <v>0</v>
      </c>
      <c r="G59" s="183">
        <v>0</v>
      </c>
      <c r="H59" s="184">
        <f>($C$49*$C$51)*'SA Oct 2018'!W37/100</f>
        <v>379.5</v>
      </c>
      <c r="I59" s="185">
        <f t="shared" si="13"/>
        <v>2295.7359999999999</v>
      </c>
      <c r="J59" s="186">
        <f t="shared" si="14"/>
        <v>9182.9439999999995</v>
      </c>
      <c r="K59" s="187">
        <f>'SA Oct 2018'!AZ37</f>
        <v>0</v>
      </c>
      <c r="L59" s="187">
        <f>'SA Oct 2018'!BA37</f>
        <v>18</v>
      </c>
      <c r="M59" s="187">
        <f>'SA Oct 2018'!BB37</f>
        <v>0</v>
      </c>
      <c r="N59" s="187">
        <f>'SA Oct 2018'!BC37</f>
        <v>0</v>
      </c>
      <c r="O59" s="186">
        <f>J59-((I59-C59)*L59/100)*4</f>
        <v>7588.7199999999993</v>
      </c>
      <c r="P59" s="186">
        <f>O59</f>
        <v>7588.7199999999993</v>
      </c>
      <c r="Q59" s="186">
        <f t="shared" si="15"/>
        <v>8347.5920000000006</v>
      </c>
      <c r="R59" s="186">
        <f t="shared" si="15"/>
        <v>8347.5920000000006</v>
      </c>
      <c r="S59" s="188">
        <f>'SA Oct 2018'!BJ37</f>
        <v>24</v>
      </c>
      <c r="T59" s="189" t="str">
        <f>'SA Oct 2018'!BK37</f>
        <v>y</v>
      </c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</row>
    <row r="60" spans="1:49" ht="14" x14ac:dyDescent="0.15">
      <c r="A60" s="179" t="str">
        <f>'SA Oct 2018'!K38</f>
        <v>Lumo Energy</v>
      </c>
      <c r="B60" s="180" t="str">
        <f>'SA Oct 2018'!L38</f>
        <v>Business Premium</v>
      </c>
      <c r="C60" s="181">
        <f>91*'SA Oct 2018'!M38/100</f>
        <v>78.587600000000009</v>
      </c>
      <c r="D60" s="181">
        <f>IF($C$49*$C$50&gt;='SA Oct 2018'!P38,('SA Oct 2018'!P38*'SA Oct 2018'!N38/100),(($C$49*$C$50)*'SA Oct 2018'!N38/100))</f>
        <v>927.5</v>
      </c>
      <c r="E60" s="181">
        <v>0</v>
      </c>
      <c r="F60" s="182">
        <v>0</v>
      </c>
      <c r="G60" s="183">
        <f>IF(($C$49*$C$50&lt;'SA Oct 2018'!P38),(0),(($C$49*$C$50)-'SA Oct 2018'!P38))*'SA Oct 2018'!Q38/100</f>
        <v>371</v>
      </c>
      <c r="H60" s="184">
        <f>($C$49*$C$51)*'SA Oct 2018'!W38/100</f>
        <v>411</v>
      </c>
      <c r="I60" s="185">
        <f t="shared" si="13"/>
        <v>1788.0876000000001</v>
      </c>
      <c r="J60" s="186">
        <f t="shared" si="14"/>
        <v>7152.3504000000003</v>
      </c>
      <c r="K60" s="187">
        <f>'SA Oct 2018'!AZ38</f>
        <v>0</v>
      </c>
      <c r="L60" s="187">
        <f>'SA Oct 2018'!BA38</f>
        <v>0</v>
      </c>
      <c r="M60" s="187">
        <f>'SA Oct 2018'!BB38</f>
        <v>0</v>
      </c>
      <c r="N60" s="187">
        <f>'SA Oct 2018'!BC38</f>
        <v>0</v>
      </c>
      <c r="O60" s="186">
        <f t="shared" ref="O60:O61" si="16">J60</f>
        <v>7152.3504000000003</v>
      </c>
      <c r="P60" s="186">
        <f t="shared" ref="P60:P61" si="17">O60</f>
        <v>7152.3504000000003</v>
      </c>
      <c r="Q60" s="186">
        <f t="shared" si="15"/>
        <v>7867.5854400000007</v>
      </c>
      <c r="R60" s="186">
        <f t="shared" si="15"/>
        <v>7867.5854400000007</v>
      </c>
      <c r="S60" s="188">
        <f>'SA Oct 2018'!BJ38</f>
        <v>0</v>
      </c>
      <c r="T60" s="189" t="str">
        <f>'SA Oct 2018'!BK38</f>
        <v>n</v>
      </c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</row>
    <row r="61" spans="1:49" ht="14" x14ac:dyDescent="0.15">
      <c r="A61" s="179" t="str">
        <f>'SA Oct 2018'!K39</f>
        <v>Momentum Energy</v>
      </c>
      <c r="B61" s="180" t="str">
        <f>'SA Oct 2018'!L39</f>
        <v>SmilePower</v>
      </c>
      <c r="C61" s="181">
        <f>91*'SA Oct 2018'!M39/100</f>
        <v>93.757300000000001</v>
      </c>
      <c r="D61" s="181">
        <f>IF($C$49*$C$50&gt;='SA Oct 2018'!P39,('SA Oct 2018'!P39*'SA Oct 2018'!N39/100),(($C$49*$C$50)*'SA Oct 2018'!N39/100))</f>
        <v>533.04</v>
      </c>
      <c r="E61" s="181">
        <v>0</v>
      </c>
      <c r="F61" s="182">
        <v>0</v>
      </c>
      <c r="G61" s="183">
        <f>IF(($C$49*$C$50&lt;'SA Oct 2018'!P39),(0),(($C$49*$C$50)-'SA Oct 2018'!P39))*'SA Oct 2018'!Q39/100</f>
        <v>1021.66</v>
      </c>
      <c r="H61" s="184">
        <f>($C$49*$C$51)*'SA Oct 2018'!W39/100</f>
        <v>397.35</v>
      </c>
      <c r="I61" s="185">
        <f t="shared" si="13"/>
        <v>2045.8072999999999</v>
      </c>
      <c r="J61" s="186">
        <f t="shared" si="14"/>
        <v>8183.2291999999998</v>
      </c>
      <c r="K61" s="187">
        <f>'SA Oct 2018'!AZ39</f>
        <v>0</v>
      </c>
      <c r="L61" s="187">
        <f>'SA Oct 2018'!BA39</f>
        <v>0</v>
      </c>
      <c r="M61" s="187">
        <f>'SA Oct 2018'!BB39</f>
        <v>0</v>
      </c>
      <c r="N61" s="187">
        <f>'SA Oct 2018'!BC39</f>
        <v>0</v>
      </c>
      <c r="O61" s="186">
        <f t="shared" si="16"/>
        <v>8183.2291999999998</v>
      </c>
      <c r="P61" s="186">
        <f t="shared" si="17"/>
        <v>8183.2291999999998</v>
      </c>
      <c r="Q61" s="186">
        <f t="shared" si="15"/>
        <v>9001.5521200000003</v>
      </c>
      <c r="R61" s="186">
        <f t="shared" si="15"/>
        <v>9001.5521200000003</v>
      </c>
      <c r="S61" s="188">
        <f>'SA Oct 2018'!BJ39</f>
        <v>12</v>
      </c>
      <c r="T61" s="189" t="str">
        <f>'SA Oct 2018'!BK39</f>
        <v>y</v>
      </c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</row>
    <row r="62" spans="1:49" ht="14" x14ac:dyDescent="0.15">
      <c r="A62" s="179" t="str">
        <f>'SA Oct 2018'!K40</f>
        <v>Origin Energy</v>
      </c>
      <c r="B62" s="180" t="str">
        <f>'SA Oct 2018'!L40</f>
        <v>Business Saver</v>
      </c>
      <c r="C62" s="181">
        <f>91*'SA Oct 2018'!M40/100</f>
        <v>81.608800000000016</v>
      </c>
      <c r="D62" s="181">
        <f>($C$49*$C$50)*'SA Oct 2018'!N40/100</f>
        <v>1472.1</v>
      </c>
      <c r="E62" s="181">
        <v>0</v>
      </c>
      <c r="F62" s="182">
        <v>0</v>
      </c>
      <c r="G62" s="183">
        <v>0</v>
      </c>
      <c r="H62" s="184">
        <f>($C$49*$C$51)*'SA Oct 2018'!W40/100</f>
        <v>409.65</v>
      </c>
      <c r="I62" s="185">
        <f t="shared" si="13"/>
        <v>1963.3588</v>
      </c>
      <c r="J62" s="186">
        <f t="shared" si="14"/>
        <v>7853.4351999999999</v>
      </c>
      <c r="K62" s="187">
        <f>'SA Oct 2018'!AZ40</f>
        <v>0</v>
      </c>
      <c r="L62" s="187">
        <f>'SA Oct 2018'!BA40</f>
        <v>16</v>
      </c>
      <c r="M62" s="187">
        <f>'SA Oct 2018'!BB40</f>
        <v>0</v>
      </c>
      <c r="N62" s="187">
        <f>'SA Oct 2018'!BC40</f>
        <v>0</v>
      </c>
      <c r="O62" s="186">
        <f>J62-((I62-C62)*L62/100)*4</f>
        <v>6649.1152000000002</v>
      </c>
      <c r="P62" s="186">
        <f>O62</f>
        <v>6649.1152000000002</v>
      </c>
      <c r="Q62" s="186">
        <f t="shared" si="15"/>
        <v>7314.0267200000008</v>
      </c>
      <c r="R62" s="186">
        <f t="shared" si="15"/>
        <v>7314.0267200000008</v>
      </c>
      <c r="S62" s="188">
        <f>'SA Oct 2018'!BJ40</f>
        <v>12</v>
      </c>
      <c r="T62" s="189" t="str">
        <f>'SA Oct 2018'!BK40</f>
        <v>y</v>
      </c>
      <c r="U62" s="161"/>
      <c r="V62" s="178"/>
      <c r="W62" s="161"/>
      <c r="X62" s="178"/>
      <c r="Y62" s="161"/>
      <c r="Z62" s="178"/>
      <c r="AA62" s="161"/>
      <c r="AB62" s="178"/>
      <c r="AC62" s="161"/>
      <c r="AD62" s="178"/>
      <c r="AE62" s="161"/>
      <c r="AF62" s="178"/>
      <c r="AG62" s="161"/>
      <c r="AH62" s="178"/>
      <c r="AI62" s="161"/>
      <c r="AJ62" s="178"/>
      <c r="AK62" s="161"/>
      <c r="AL62" s="178"/>
      <c r="AM62" s="161"/>
      <c r="AN62" s="178"/>
      <c r="AO62" s="161"/>
      <c r="AP62" s="178"/>
      <c r="AQ62" s="161"/>
      <c r="AR62" s="178"/>
      <c r="AS62" s="161"/>
      <c r="AT62" s="178"/>
      <c r="AU62" s="161"/>
      <c r="AV62" s="178"/>
      <c r="AW62" s="161"/>
    </row>
    <row r="63" spans="1:49" ht="14" x14ac:dyDescent="0.15">
      <c r="A63" s="179" t="str">
        <f>'SA Oct 2018'!K41</f>
        <v>Powerdirect</v>
      </c>
      <c r="B63" s="180" t="str">
        <f>'SA Oct 2018'!L41</f>
        <v>Market offer</v>
      </c>
      <c r="C63" s="181">
        <f>91*'SA Oct 2018'!M41/100</f>
        <v>82.81</v>
      </c>
      <c r="D63" s="181">
        <f>($C$49*$C$50)*'SA Oct 2018'!N41/100</f>
        <v>1501.5</v>
      </c>
      <c r="E63" s="181">
        <v>0</v>
      </c>
      <c r="F63" s="182">
        <v>0</v>
      </c>
      <c r="G63" s="183">
        <v>0</v>
      </c>
      <c r="H63" s="184">
        <f>($C$49*$C$51)*'SA Oct 2018'!W41/100</f>
        <v>418.5</v>
      </c>
      <c r="I63" s="185">
        <f t="shared" si="13"/>
        <v>2002.81</v>
      </c>
      <c r="J63" s="186">
        <f t="shared" si="14"/>
        <v>8011.24</v>
      </c>
      <c r="K63" s="187">
        <f>'SA Oct 2018'!AZ41</f>
        <v>0</v>
      </c>
      <c r="L63" s="187">
        <f>'SA Oct 2018'!BA41</f>
        <v>16</v>
      </c>
      <c r="M63" s="187">
        <f>'SA Oct 2018'!BB41</f>
        <v>0</v>
      </c>
      <c r="N63" s="187">
        <f>'SA Oct 2018'!BC41</f>
        <v>0</v>
      </c>
      <c r="O63" s="186">
        <f>J63-((I63-C63)*L63/100)*4</f>
        <v>6782.44</v>
      </c>
      <c r="P63" s="186">
        <f t="shared" ref="P63" si="18">O63</f>
        <v>6782.44</v>
      </c>
      <c r="Q63" s="186">
        <f t="shared" si="15"/>
        <v>7460.6840000000002</v>
      </c>
      <c r="R63" s="186">
        <f t="shared" si="15"/>
        <v>7460.6840000000002</v>
      </c>
      <c r="S63" s="188">
        <f>'SA Oct 2018'!BJ41</f>
        <v>0</v>
      </c>
      <c r="T63" s="189" t="str">
        <f>'SA Oct 2018'!BK41</f>
        <v>n</v>
      </c>
      <c r="U63" s="161"/>
      <c r="V63" s="178"/>
      <c r="W63" s="161"/>
      <c r="X63" s="178"/>
      <c r="Y63" s="161"/>
      <c r="Z63" s="178"/>
      <c r="AA63" s="161"/>
      <c r="AB63" s="178"/>
      <c r="AC63" s="161"/>
      <c r="AD63" s="178"/>
      <c r="AE63" s="161"/>
      <c r="AF63" s="178"/>
      <c r="AG63" s="161"/>
      <c r="AH63" s="178"/>
      <c r="AI63" s="161"/>
      <c r="AJ63" s="178"/>
      <c r="AK63" s="161"/>
      <c r="AL63" s="178"/>
      <c r="AM63" s="161"/>
      <c r="AN63" s="178"/>
      <c r="AO63" s="161"/>
      <c r="AP63" s="178"/>
      <c r="AQ63" s="161"/>
      <c r="AR63" s="178"/>
      <c r="AS63" s="161"/>
      <c r="AT63" s="178"/>
      <c r="AU63" s="161"/>
      <c r="AV63" s="178"/>
      <c r="AW63" s="161"/>
    </row>
    <row r="64" spans="1:49" ht="14" x14ac:dyDescent="0.15">
      <c r="A64" s="179" t="str">
        <f>'SA Oct 2018'!K42</f>
        <v>Red Energy</v>
      </c>
      <c r="B64" s="180" t="str">
        <f>'SA Oct 2018'!L42</f>
        <v>No exit fee saver</v>
      </c>
      <c r="C64" s="181">
        <f>91*'SA Oct 2018'!M42/100</f>
        <v>91.454999999999998</v>
      </c>
      <c r="D64" s="181">
        <f>($C$49*$C$50)*'SA Oct 2018'!N42/100</f>
        <v>1561</v>
      </c>
      <c r="E64" s="181">
        <v>0</v>
      </c>
      <c r="F64" s="182">
        <v>0</v>
      </c>
      <c r="G64" s="183">
        <v>0</v>
      </c>
      <c r="H64" s="184">
        <f>($C$49*$C$51)*'SA Oct 2018'!W42/100</f>
        <v>492.75</v>
      </c>
      <c r="I64" s="185">
        <f t="shared" si="13"/>
        <v>2145.2049999999999</v>
      </c>
      <c r="J64" s="186">
        <f t="shared" si="14"/>
        <v>8580.82</v>
      </c>
      <c r="K64" s="187">
        <f>'SA Oct 2018'!AZ42</f>
        <v>0</v>
      </c>
      <c r="L64" s="187">
        <f>'SA Oct 2018'!BA42</f>
        <v>0</v>
      </c>
      <c r="M64" s="187">
        <f>'SA Oct 2018'!BB42</f>
        <v>10</v>
      </c>
      <c r="N64" s="187">
        <f>'SA Oct 2018'!BC42</f>
        <v>0</v>
      </c>
      <c r="O64" s="186">
        <f>J64</f>
        <v>8580.82</v>
      </c>
      <c r="P64" s="186">
        <f>O64-(O64*M64/100)</f>
        <v>7722.7379999999994</v>
      </c>
      <c r="Q64" s="186">
        <f t="shared" si="15"/>
        <v>9438.902</v>
      </c>
      <c r="R64" s="186">
        <f t="shared" si="15"/>
        <v>8495.0118000000002</v>
      </c>
      <c r="S64" s="188">
        <f>'SA Oct 2018'!BJ42</f>
        <v>0</v>
      </c>
      <c r="T64" s="189" t="str">
        <f>'SA Oct 2018'!BK42</f>
        <v>n</v>
      </c>
      <c r="U64" s="161"/>
      <c r="V64" s="178"/>
      <c r="W64" s="161"/>
      <c r="X64" s="178"/>
      <c r="Y64" s="161"/>
      <c r="Z64" s="178"/>
      <c r="AA64" s="161"/>
      <c r="AB64" s="178"/>
      <c r="AC64" s="161"/>
      <c r="AD64" s="178"/>
      <c r="AE64" s="161"/>
      <c r="AF64" s="178"/>
      <c r="AG64" s="161"/>
      <c r="AH64" s="178"/>
      <c r="AI64" s="161"/>
      <c r="AJ64" s="178"/>
      <c r="AK64" s="161"/>
      <c r="AL64" s="178"/>
      <c r="AM64" s="161"/>
      <c r="AN64" s="178"/>
      <c r="AO64" s="161"/>
      <c r="AP64" s="178"/>
      <c r="AQ64" s="161"/>
      <c r="AR64" s="178"/>
      <c r="AS64" s="161"/>
      <c r="AT64" s="178"/>
      <c r="AU64" s="161"/>
      <c r="AV64" s="178"/>
      <c r="AW64" s="161"/>
    </row>
    <row r="65" spans="1:49" ht="14" x14ac:dyDescent="0.15">
      <c r="A65" s="179" t="str">
        <f>'SA Oct 2018'!K43</f>
        <v>Simply Energy</v>
      </c>
      <c r="B65" s="180" t="str">
        <f>'SA Oct 2018'!L43</f>
        <v>Business Plus</v>
      </c>
      <c r="C65" s="181">
        <f>91*'SA Oct 2018'!M43/100</f>
        <v>91.418599999999984</v>
      </c>
      <c r="D65" s="181">
        <f>($C$49*$C$50)*'SA Oct 2018'!N43/100</f>
        <v>1704.5</v>
      </c>
      <c r="E65" s="181">
        <v>0</v>
      </c>
      <c r="F65" s="182">
        <v>0</v>
      </c>
      <c r="G65" s="183">
        <v>0</v>
      </c>
      <c r="H65" s="184">
        <f>($C$49*$C$51)*'SA Oct 2018'!W43/100</f>
        <v>422.25</v>
      </c>
      <c r="I65" s="185">
        <f t="shared" si="13"/>
        <v>2218.1686</v>
      </c>
      <c r="J65" s="186">
        <f t="shared" si="14"/>
        <v>8872.6743999999999</v>
      </c>
      <c r="K65" s="187">
        <f>'SA Oct 2018'!AZ43</f>
        <v>0</v>
      </c>
      <c r="L65" s="187">
        <f>'SA Oct 2018'!BA43</f>
        <v>15</v>
      </c>
      <c r="M65" s="187">
        <f>'SA Oct 2018'!BB43</f>
        <v>0</v>
      </c>
      <c r="N65" s="187">
        <f>'SA Oct 2018'!BC43</f>
        <v>0</v>
      </c>
      <c r="O65" s="186">
        <f>J65-((I65-C65)*L65/100)*4</f>
        <v>7596.6243999999997</v>
      </c>
      <c r="P65" s="186">
        <f>O65</f>
        <v>7596.6243999999997</v>
      </c>
      <c r="Q65" s="186">
        <f t="shared" si="15"/>
        <v>8356.2868400000007</v>
      </c>
      <c r="R65" s="186">
        <f t="shared" si="15"/>
        <v>8356.2868400000007</v>
      </c>
      <c r="S65" s="188">
        <f>'SA Oct 2018'!BJ43</f>
        <v>0</v>
      </c>
      <c r="T65" s="189" t="str">
        <f>'SA Oct 2018'!BK43</f>
        <v>n</v>
      </c>
      <c r="U65" s="161"/>
      <c r="V65" s="178"/>
      <c r="W65" s="161"/>
      <c r="X65" s="178"/>
      <c r="Y65" s="161"/>
      <c r="Z65" s="178"/>
      <c r="AA65" s="161"/>
      <c r="AB65" s="178"/>
      <c r="AC65" s="161"/>
      <c r="AD65" s="178"/>
      <c r="AE65" s="161"/>
      <c r="AF65" s="178"/>
      <c r="AG65" s="161"/>
      <c r="AH65" s="178"/>
      <c r="AI65" s="161"/>
      <c r="AJ65" s="178"/>
      <c r="AK65" s="161"/>
      <c r="AL65" s="178"/>
      <c r="AM65" s="161"/>
      <c r="AN65" s="178"/>
      <c r="AO65" s="161"/>
      <c r="AP65" s="178"/>
      <c r="AQ65" s="161"/>
      <c r="AR65" s="178"/>
      <c r="AS65" s="161"/>
      <c r="AT65" s="178"/>
      <c r="AU65" s="161"/>
      <c r="AV65" s="178"/>
      <c r="AW65" s="161"/>
    </row>
    <row r="66" spans="1:49" ht="14" x14ac:dyDescent="0.15">
      <c r="A66" s="179" t="str">
        <f>'SA Oct 2018'!K44</f>
        <v>Q Energy</v>
      </c>
      <c r="B66" s="180" t="str">
        <f>'SA Oct 2018'!L44</f>
        <v>Flexi Saver Biz</v>
      </c>
      <c r="C66" s="181">
        <f>91*'SA Oct 2018'!M44/100</f>
        <v>72.8</v>
      </c>
      <c r="D66" s="181">
        <f>($C$49*$C$50)*'SA Oct 2018'!N44/100</f>
        <v>1176</v>
      </c>
      <c r="E66" s="181">
        <v>0</v>
      </c>
      <c r="F66" s="182">
        <v>0</v>
      </c>
      <c r="G66" s="183">
        <v>0</v>
      </c>
      <c r="H66" s="184">
        <f>($C$49*$C$51)*'SA Oct 2018'!W44/100</f>
        <v>326.7</v>
      </c>
      <c r="I66" s="185">
        <f t="shared" si="13"/>
        <v>1575.5</v>
      </c>
      <c r="J66" s="186">
        <f t="shared" si="14"/>
        <v>6302</v>
      </c>
      <c r="K66" s="187">
        <f>'SA Oct 2018'!AZ44</f>
        <v>0</v>
      </c>
      <c r="L66" s="187">
        <f>'SA Oct 2018'!BA44</f>
        <v>0</v>
      </c>
      <c r="M66" s="187">
        <f>'SA Oct 2018'!BB44</f>
        <v>0</v>
      </c>
      <c r="N66" s="187">
        <f>'SA Oct 2018'!BC44</f>
        <v>0</v>
      </c>
      <c r="O66" s="186">
        <f>J66</f>
        <v>6302</v>
      </c>
      <c r="P66" s="186">
        <f t="shared" ref="P66" si="19">O66</f>
        <v>6302</v>
      </c>
      <c r="Q66" s="186">
        <f t="shared" si="15"/>
        <v>6932.2000000000007</v>
      </c>
      <c r="R66" s="186">
        <f t="shared" si="15"/>
        <v>6932.2000000000007</v>
      </c>
      <c r="S66" s="188">
        <f>'SA Oct 2018'!BJ44</f>
        <v>24</v>
      </c>
      <c r="T66" s="189" t="str">
        <f>'SA Oct 2018'!BK44</f>
        <v>y</v>
      </c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</row>
    <row r="67" spans="1:49" ht="14" x14ac:dyDescent="0.15">
      <c r="A67" s="179" t="str">
        <f>'SA Oct 2018'!K45</f>
        <v>Amaysim</v>
      </c>
      <c r="B67" s="190" t="str">
        <f>'SA Oct 2018'!L45</f>
        <v>Business 1</v>
      </c>
      <c r="C67" s="181">
        <f>91*'SA Oct 2018'!M45/100</f>
        <v>75.075000000000003</v>
      </c>
      <c r="D67" s="181">
        <f>($C$49*$C$50)*'SA Oct 2018'!N45/100</f>
        <v>1676.5</v>
      </c>
      <c r="E67" s="181">
        <v>0</v>
      </c>
      <c r="F67" s="181">
        <v>0</v>
      </c>
      <c r="G67" s="183">
        <v>0</v>
      </c>
      <c r="H67" s="181">
        <f>($C$49*$C$51)*'SA Oct 2018'!W45/100</f>
        <v>595.50000000000011</v>
      </c>
      <c r="I67" s="185">
        <f t="shared" si="13"/>
        <v>2347.0750000000003</v>
      </c>
      <c r="J67" s="186">
        <f t="shared" si="14"/>
        <v>9388.3000000000011</v>
      </c>
      <c r="K67" s="187">
        <f>'SA Oct 2018'!AZ45</f>
        <v>0</v>
      </c>
      <c r="L67" s="187">
        <f>'SA Oct 2018'!BA45</f>
        <v>0</v>
      </c>
      <c r="M67" s="187">
        <f>'SA Oct 2018'!BB45</f>
        <v>16</v>
      </c>
      <c r="N67" s="187">
        <f>'SA Oct 2018'!BC45</f>
        <v>0</v>
      </c>
      <c r="O67" s="186">
        <f>J67</f>
        <v>9388.3000000000011</v>
      </c>
      <c r="P67" s="186">
        <f>O67-(O67*M67/100)</f>
        <v>7886.1720000000005</v>
      </c>
      <c r="Q67" s="186">
        <f t="shared" si="15"/>
        <v>10327.130000000003</v>
      </c>
      <c r="R67" s="186">
        <f t="shared" si="15"/>
        <v>8674.7892000000011</v>
      </c>
      <c r="S67" s="188">
        <f>'SA Oct 2018'!BJ45</f>
        <v>0</v>
      </c>
      <c r="T67" s="189" t="str">
        <f>'SA Oct 2018'!BK45</f>
        <v>n</v>
      </c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</row>
    <row r="68" spans="1:49" ht="15" thickBot="1" x14ac:dyDescent="0.2">
      <c r="A68" s="191" t="str">
        <f>'SA Oct 2018'!K46</f>
        <v>Next Business Energy</v>
      </c>
      <c r="B68" s="192" t="str">
        <f>'SA Oct 2018'!L46</f>
        <v>Pay on time</v>
      </c>
      <c r="C68" s="193">
        <f>91*'SA Oct 2018'!M46/100</f>
        <v>86.45</v>
      </c>
      <c r="D68" s="193">
        <f>($C$49*$C$50)*'SA Oct 2018'!N46/100</f>
        <v>1435</v>
      </c>
      <c r="E68" s="193">
        <v>0</v>
      </c>
      <c r="F68" s="193">
        <v>0</v>
      </c>
      <c r="G68" s="194">
        <v>0</v>
      </c>
      <c r="H68" s="193">
        <f>($C$49*$C$51)*'SA Oct 2018'!W46/100</f>
        <v>480</v>
      </c>
      <c r="I68" s="195">
        <f t="shared" si="13"/>
        <v>2001.45</v>
      </c>
      <c r="J68" s="196">
        <f t="shared" si="14"/>
        <v>8005.8</v>
      </c>
      <c r="K68" s="197">
        <f>'SA Oct 2018'!AZ46</f>
        <v>0</v>
      </c>
      <c r="L68" s="197">
        <f>'SA Oct 2018'!BA46</f>
        <v>0</v>
      </c>
      <c r="M68" s="197">
        <f>'SA Oct 2018'!BB46</f>
        <v>7</v>
      </c>
      <c r="N68" s="197">
        <f>'SA Oct 2018'!BC46</f>
        <v>0</v>
      </c>
      <c r="O68" s="196">
        <f>J68</f>
        <v>8005.8</v>
      </c>
      <c r="P68" s="196">
        <f>O68-(O68*M68/100)</f>
        <v>7445.3940000000002</v>
      </c>
      <c r="Q68" s="196">
        <f t="shared" si="15"/>
        <v>8806.380000000001</v>
      </c>
      <c r="R68" s="196">
        <f t="shared" si="15"/>
        <v>8189.9334000000008</v>
      </c>
      <c r="S68" s="198">
        <f>'SA Oct 2018'!BJ46</f>
        <v>24</v>
      </c>
      <c r="T68" s="199" t="str">
        <f>'SA Oct 2018'!BK46</f>
        <v>n</v>
      </c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</row>
    <row r="69" spans="1:49" ht="14" x14ac:dyDescent="0.15">
      <c r="A69" s="161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</row>
    <row r="70" spans="1:49" ht="14" x14ac:dyDescent="0.15">
      <c r="A70" s="161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</row>
    <row r="71" spans="1:49" ht="14" x14ac:dyDescent="0.15">
      <c r="A71" s="161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</row>
    <row r="72" spans="1:49" ht="14" x14ac:dyDescent="0.15">
      <c r="A72" s="161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</row>
    <row r="73" spans="1:49" ht="14" x14ac:dyDescent="0.15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</row>
    <row r="74" spans="1:49" ht="14" x14ac:dyDescent="0.15">
      <c r="A74" s="161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</row>
    <row r="75" spans="1:49" ht="14" x14ac:dyDescent="0.15">
      <c r="A75" s="161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</row>
    <row r="76" spans="1:49" ht="14" x14ac:dyDescent="0.15">
      <c r="A76" s="161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</row>
    <row r="77" spans="1:49" ht="14" x14ac:dyDescent="0.15">
      <c r="A77" s="161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</row>
    <row r="78" spans="1:49" ht="14" x14ac:dyDescent="0.15">
      <c r="A78" s="161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</row>
    <row r="79" spans="1:49" ht="14" x14ac:dyDescent="0.15">
      <c r="A79" s="161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</row>
    <row r="80" spans="1:49" ht="14" x14ac:dyDescent="0.15">
      <c r="A80" s="161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</row>
    <row r="81" spans="1:49" ht="14" x14ac:dyDescent="0.15">
      <c r="A81" s="161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</row>
    <row r="82" spans="1:49" ht="14" x14ac:dyDescent="0.15">
      <c r="A82" s="161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</row>
    <row r="83" spans="1:49" ht="14" x14ac:dyDescent="0.15">
      <c r="A83" s="161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</row>
    <row r="84" spans="1:49" ht="14" x14ac:dyDescent="0.15">
      <c r="A84" s="161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</row>
    <row r="85" spans="1:49" ht="14" x14ac:dyDescent="0.15">
      <c r="A85" s="161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</row>
    <row r="86" spans="1:49" ht="14" x14ac:dyDescent="0.15">
      <c r="A86" s="161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</row>
    <row r="87" spans="1:49" ht="14" x14ac:dyDescent="0.15">
      <c r="A87" s="161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</row>
    <row r="88" spans="1:49" ht="14" x14ac:dyDescent="0.15">
      <c r="A88" s="161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</row>
    <row r="89" spans="1:49" ht="14" x14ac:dyDescent="0.15">
      <c r="A89" s="161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</row>
    <row r="90" spans="1:49" ht="14" x14ac:dyDescent="0.15">
      <c r="A90" s="161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</row>
    <row r="91" spans="1:49" ht="14" x14ac:dyDescent="0.15">
      <c r="A91" s="161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</row>
    <row r="92" spans="1:49" ht="14" x14ac:dyDescent="0.15">
      <c r="A92" s="161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</row>
    <row r="93" spans="1:49" ht="14" x14ac:dyDescent="0.15">
      <c r="A93" s="161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</row>
    <row r="94" spans="1:49" ht="14" x14ac:dyDescent="0.15">
      <c r="A94" s="161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</row>
    <row r="95" spans="1:49" ht="14" x14ac:dyDescent="0.15">
      <c r="A95" s="161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</row>
    <row r="96" spans="1:49" ht="14" x14ac:dyDescent="0.15">
      <c r="A96" s="161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</row>
    <row r="97" spans="1:49" ht="14" x14ac:dyDescent="0.15">
      <c r="A97" s="161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</row>
    <row r="98" spans="1:49" ht="14" x14ac:dyDescent="0.15">
      <c r="A98" s="161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</row>
    <row r="99" spans="1:49" ht="14" x14ac:dyDescent="0.15">
      <c r="A99" s="161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</row>
    <row r="100" spans="1:49" ht="14" x14ac:dyDescent="0.15">
      <c r="A100" s="161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</row>
    <row r="101" spans="1:49" ht="14" x14ac:dyDescent="0.15">
      <c r="A101" s="161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</row>
    <row r="102" spans="1:49" ht="14" x14ac:dyDescent="0.15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</row>
    <row r="103" spans="1:49" ht="14" x14ac:dyDescent="0.15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</row>
    <row r="104" spans="1:49" ht="14" x14ac:dyDescent="0.15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</row>
    <row r="105" spans="1:49" ht="14" x14ac:dyDescent="0.15">
      <c r="A105" s="161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</row>
    <row r="106" spans="1:49" ht="14" x14ac:dyDescent="0.15">
      <c r="A106" s="161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</row>
    <row r="107" spans="1:49" ht="14" x14ac:dyDescent="0.15">
      <c r="A107" s="161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</row>
    <row r="108" spans="1:49" ht="14" x14ac:dyDescent="0.15">
      <c r="A108" s="161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</row>
    <row r="109" spans="1:49" ht="14" x14ac:dyDescent="0.15">
      <c r="A109" s="161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</row>
    <row r="110" spans="1:49" ht="14" x14ac:dyDescent="0.15">
      <c r="A110" s="161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</row>
    <row r="111" spans="1:49" ht="14" x14ac:dyDescent="0.15">
      <c r="A111" s="161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</row>
    <row r="112" spans="1:49" ht="14" x14ac:dyDescent="0.15">
      <c r="A112" s="161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</row>
    <row r="113" spans="1:49" ht="14" x14ac:dyDescent="0.15">
      <c r="A113" s="161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</row>
    <row r="114" spans="1:49" ht="14" x14ac:dyDescent="0.15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</row>
    <row r="115" spans="1:49" ht="14" x14ac:dyDescent="0.15">
      <c r="A115" s="161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</row>
    <row r="116" spans="1:49" ht="14" x14ac:dyDescent="0.15">
      <c r="A116" s="161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</row>
    <row r="117" spans="1:49" ht="14" x14ac:dyDescent="0.15">
      <c r="A117" s="161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</row>
    <row r="118" spans="1:49" ht="14" x14ac:dyDescent="0.15">
      <c r="A118" s="161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</row>
    <row r="119" spans="1:49" ht="14" x14ac:dyDescent="0.15">
      <c r="A119" s="161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</row>
    <row r="120" spans="1:49" ht="14" x14ac:dyDescent="0.15">
      <c r="A120" s="161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</row>
    <row r="121" spans="1:49" ht="14" x14ac:dyDescent="0.15">
      <c r="A121" s="161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</row>
    <row r="122" spans="1:49" ht="14" x14ac:dyDescent="0.15">
      <c r="A122" s="161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</row>
    <row r="123" spans="1:49" ht="14" x14ac:dyDescent="0.15">
      <c r="A123" s="161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</row>
    <row r="124" spans="1:49" ht="14" x14ac:dyDescent="0.15">
      <c r="A124" s="161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</row>
    <row r="125" spans="1:49" ht="14" x14ac:dyDescent="0.15">
      <c r="A125" s="161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</row>
    <row r="126" spans="1:49" ht="14" x14ac:dyDescent="0.15">
      <c r="A126" s="161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</row>
    <row r="127" spans="1:49" ht="14" x14ac:dyDescent="0.15">
      <c r="A127" s="161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</row>
    <row r="128" spans="1:49" ht="14" x14ac:dyDescent="0.15">
      <c r="A128" s="161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</row>
    <row r="129" spans="1:49" ht="14" x14ac:dyDescent="0.15">
      <c r="A129" s="161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</row>
    <row r="130" spans="1:49" ht="14" x14ac:dyDescent="0.15">
      <c r="A130" s="161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</row>
    <row r="131" spans="1:49" ht="14" x14ac:dyDescent="0.15">
      <c r="A131" s="161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</row>
    <row r="132" spans="1:49" ht="14" x14ac:dyDescent="0.15">
      <c r="A132" s="161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</row>
    <row r="133" spans="1:49" ht="14" x14ac:dyDescent="0.15">
      <c r="A133" s="161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</row>
    <row r="134" spans="1:49" ht="14" x14ac:dyDescent="0.15">
      <c r="A134" s="161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</row>
    <row r="135" spans="1:49" ht="14" x14ac:dyDescent="0.15">
      <c r="A135" s="161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</row>
    <row r="136" spans="1:49" ht="14" x14ac:dyDescent="0.15">
      <c r="A136" s="161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</row>
    <row r="137" spans="1:49" ht="14" x14ac:dyDescent="0.15">
      <c r="A137" s="161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</row>
    <row r="138" spans="1:49" ht="14" x14ac:dyDescent="0.15">
      <c r="A138" s="161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</row>
    <row r="139" spans="1:49" ht="14" x14ac:dyDescent="0.15">
      <c r="A139" s="161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</row>
    <row r="140" spans="1:49" ht="14" x14ac:dyDescent="0.15">
      <c r="A140" s="161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</row>
    <row r="141" spans="1:49" ht="14" x14ac:dyDescent="0.15">
      <c r="A141" s="161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</row>
    <row r="142" spans="1:49" ht="14" x14ac:dyDescent="0.15">
      <c r="A142" s="161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</row>
    <row r="143" spans="1:49" ht="14" x14ac:dyDescent="0.15">
      <c r="A143" s="161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</row>
    <row r="144" spans="1:49" ht="14" x14ac:dyDescent="0.15">
      <c r="A144" s="161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</row>
    <row r="145" spans="1:49" ht="14" x14ac:dyDescent="0.15">
      <c r="A145" s="161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</row>
    <row r="146" spans="1:49" ht="14" x14ac:dyDescent="0.15">
      <c r="A146" s="161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</row>
    <row r="147" spans="1:49" ht="14" x14ac:dyDescent="0.15">
      <c r="A147" s="161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</row>
    <row r="148" spans="1:49" ht="14" x14ac:dyDescent="0.15">
      <c r="A148" s="161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</row>
    <row r="149" spans="1:49" ht="14" x14ac:dyDescent="0.15">
      <c r="A149" s="161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</row>
    <row r="150" spans="1:49" ht="14" x14ac:dyDescent="0.15">
      <c r="A150" s="161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</row>
    <row r="151" spans="1:49" ht="14" x14ac:dyDescent="0.15">
      <c r="A151" s="161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</row>
    <row r="152" spans="1:49" ht="14" x14ac:dyDescent="0.15">
      <c r="A152" s="161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</row>
    <row r="153" spans="1:49" ht="14" x14ac:dyDescent="0.15">
      <c r="A153" s="161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</row>
    <row r="154" spans="1:49" ht="14" x14ac:dyDescent="0.15">
      <c r="A154" s="161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</row>
    <row r="155" spans="1:49" ht="14" x14ac:dyDescent="0.15">
      <c r="A155" s="161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</row>
    <row r="156" spans="1:49" ht="14" x14ac:dyDescent="0.15">
      <c r="A156" s="161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</row>
    <row r="157" spans="1:49" ht="14" x14ac:dyDescent="0.15">
      <c r="A157" s="161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</row>
    <row r="158" spans="1:49" ht="14" x14ac:dyDescent="0.15">
      <c r="A158" s="161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</row>
    <row r="159" spans="1:49" ht="14" x14ac:dyDescent="0.15">
      <c r="A159" s="161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</row>
    <row r="160" spans="1:49" ht="14" x14ac:dyDescent="0.15">
      <c r="A160" s="161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</row>
    <row r="161" spans="1:49" ht="14" x14ac:dyDescent="0.15">
      <c r="A161" s="161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</row>
    <row r="162" spans="1:49" ht="14" x14ac:dyDescent="0.15">
      <c r="A162" s="161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</row>
    <row r="163" spans="1:49" ht="14" x14ac:dyDescent="0.15">
      <c r="A163" s="161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</row>
    <row r="164" spans="1:49" ht="14" x14ac:dyDescent="0.15">
      <c r="A164" s="161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</row>
    <row r="165" spans="1:49" ht="14" x14ac:dyDescent="0.15">
      <c r="A165" s="161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</row>
    <row r="166" spans="1:49" ht="14" x14ac:dyDescent="0.15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</row>
    <row r="167" spans="1:49" ht="14" x14ac:dyDescent="0.15">
      <c r="A167" s="161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</row>
    <row r="168" spans="1:49" ht="14" x14ac:dyDescent="0.15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</row>
    <row r="169" spans="1:49" ht="14" x14ac:dyDescent="0.15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</row>
    <row r="170" spans="1:49" ht="14" x14ac:dyDescent="0.15">
      <c r="A170" s="161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</row>
    <row r="171" spans="1:49" ht="14" x14ac:dyDescent="0.15">
      <c r="A171" s="161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</row>
    <row r="172" spans="1:49" ht="14" x14ac:dyDescent="0.15">
      <c r="A172" s="161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</row>
    <row r="173" spans="1:49" ht="14" x14ac:dyDescent="0.15">
      <c r="A173" s="161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</row>
    <row r="174" spans="1:49" ht="14" x14ac:dyDescent="0.15">
      <c r="A174" s="161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</row>
    <row r="175" spans="1:49" ht="14" x14ac:dyDescent="0.15">
      <c r="A175" s="161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</row>
    <row r="176" spans="1:49" ht="14" x14ac:dyDescent="0.15">
      <c r="A176" s="161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</row>
    <row r="177" spans="1:49" ht="14" x14ac:dyDescent="0.15">
      <c r="A177" s="161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</row>
    <row r="178" spans="1:49" ht="14" x14ac:dyDescent="0.15">
      <c r="A178" s="161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</row>
    <row r="179" spans="1:49" ht="14" x14ac:dyDescent="0.15">
      <c r="A179" s="161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</row>
    <row r="180" spans="1:49" ht="14" x14ac:dyDescent="0.15">
      <c r="A180" s="161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</row>
    <row r="181" spans="1:49" ht="14" x14ac:dyDescent="0.15">
      <c r="A181" s="161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</row>
    <row r="182" spans="1:49" ht="14" x14ac:dyDescent="0.15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</row>
    <row r="183" spans="1:49" ht="14" x14ac:dyDescent="0.15">
      <c r="A183" s="161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</row>
    <row r="184" spans="1:49" ht="14" x14ac:dyDescent="0.15">
      <c r="A184" s="161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</row>
    <row r="185" spans="1:49" ht="14" x14ac:dyDescent="0.15">
      <c r="A185" s="161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</row>
    <row r="186" spans="1:49" ht="14" x14ac:dyDescent="0.15">
      <c r="A186" s="161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</row>
    <row r="187" spans="1:49" ht="14" x14ac:dyDescent="0.15">
      <c r="A187" s="161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</row>
    <row r="188" spans="1:49" ht="14" x14ac:dyDescent="0.15">
      <c r="A188" s="161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</row>
    <row r="189" spans="1:49" ht="14" x14ac:dyDescent="0.15">
      <c r="A189" s="161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</row>
    <row r="190" spans="1:49" ht="14" x14ac:dyDescent="0.15">
      <c r="A190" s="161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</row>
    <row r="191" spans="1:49" ht="14" x14ac:dyDescent="0.15">
      <c r="A191" s="161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</row>
    <row r="192" spans="1:49" ht="14" x14ac:dyDescent="0.15">
      <c r="A192" s="161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</row>
    <row r="193" spans="1:49" ht="14" x14ac:dyDescent="0.15">
      <c r="A193" s="161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</row>
    <row r="194" spans="1:49" ht="14" x14ac:dyDescent="0.15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</row>
    <row r="195" spans="1:49" ht="14" x14ac:dyDescent="0.15">
      <c r="A195" s="161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</row>
    <row r="196" spans="1:49" ht="14" x14ac:dyDescent="0.15">
      <c r="A196" s="161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</row>
    <row r="197" spans="1:49" ht="14" x14ac:dyDescent="0.15">
      <c r="A197" s="161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</row>
    <row r="198" spans="1:49" ht="14" x14ac:dyDescent="0.15">
      <c r="A198" s="161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</row>
    <row r="199" spans="1:49" ht="14" x14ac:dyDescent="0.15">
      <c r="A199" s="161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</row>
    <row r="200" spans="1:49" ht="14" x14ac:dyDescent="0.15">
      <c r="A200" s="161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</row>
    <row r="201" spans="1:49" ht="14" x14ac:dyDescent="0.15">
      <c r="A201" s="161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</row>
    <row r="202" spans="1:49" ht="14" x14ac:dyDescent="0.15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</row>
    <row r="203" spans="1:49" ht="14" x14ac:dyDescent="0.15">
      <c r="A203" s="161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</row>
    <row r="204" spans="1:49" ht="14" x14ac:dyDescent="0.15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</row>
    <row r="205" spans="1:49" ht="14" x14ac:dyDescent="0.15">
      <c r="A205" s="161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</row>
    <row r="206" spans="1:49" ht="14" x14ac:dyDescent="0.15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</row>
    <row r="207" spans="1:49" ht="14" x14ac:dyDescent="0.15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</row>
    <row r="208" spans="1:49" ht="14" x14ac:dyDescent="0.15">
      <c r="A208" s="161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</row>
    <row r="209" spans="1:49" ht="14" x14ac:dyDescent="0.15">
      <c r="A209" s="161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</row>
    <row r="210" spans="1:49" ht="14" x14ac:dyDescent="0.15">
      <c r="A210" s="161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</row>
    <row r="211" spans="1:49" ht="14" x14ac:dyDescent="0.15">
      <c r="A211" s="161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</row>
    <row r="212" spans="1:49" ht="14" x14ac:dyDescent="0.15">
      <c r="A212" s="161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</row>
    <row r="213" spans="1:49" ht="14" x14ac:dyDescent="0.15">
      <c r="A213" s="161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</row>
    <row r="214" spans="1:49" ht="14" x14ac:dyDescent="0.15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</row>
    <row r="215" spans="1:49" ht="14" x14ac:dyDescent="0.15">
      <c r="A215" s="161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</row>
    <row r="216" spans="1:49" ht="14" x14ac:dyDescent="0.15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</row>
    <row r="217" spans="1:49" ht="14" x14ac:dyDescent="0.15">
      <c r="A217" s="161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</row>
    <row r="218" spans="1:49" ht="14" x14ac:dyDescent="0.15">
      <c r="A218" s="161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</row>
    <row r="219" spans="1:49" ht="14" x14ac:dyDescent="0.15">
      <c r="A219" s="161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</row>
    <row r="220" spans="1:49" ht="14" x14ac:dyDescent="0.15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</row>
    <row r="221" spans="1:49" ht="14" x14ac:dyDescent="0.15">
      <c r="A221" s="161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</row>
    <row r="222" spans="1:49" ht="14" x14ac:dyDescent="0.15">
      <c r="A222" s="161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</row>
    <row r="223" spans="1:49" ht="14" x14ac:dyDescent="0.15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14" x14ac:dyDescent="0.15">
      <c r="A224" s="161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49" ht="14" x14ac:dyDescent="0.15">
      <c r="A225" s="161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</row>
    <row r="226" spans="1:49" ht="14" x14ac:dyDescent="0.15">
      <c r="A226" s="161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</row>
    <row r="227" spans="1:49" ht="14" x14ac:dyDescent="0.15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</row>
    <row r="228" spans="1:49" ht="14" x14ac:dyDescent="0.15">
      <c r="A228" s="161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</row>
    <row r="229" spans="1:49" ht="14" x14ac:dyDescent="0.15">
      <c r="A229" s="161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</row>
    <row r="230" spans="1:49" ht="14" x14ac:dyDescent="0.15">
      <c r="A230" s="161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</row>
    <row r="231" spans="1:49" ht="14" x14ac:dyDescent="0.15">
      <c r="A231" s="161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</row>
    <row r="232" spans="1:49" ht="14" x14ac:dyDescent="0.15">
      <c r="A232" s="161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</row>
    <row r="233" spans="1:49" ht="14" x14ac:dyDescent="0.15">
      <c r="A233" s="161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</row>
    <row r="234" spans="1:49" ht="14" x14ac:dyDescent="0.15">
      <c r="A234" s="161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</row>
    <row r="235" spans="1:49" ht="14" x14ac:dyDescent="0.15">
      <c r="A235" s="161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</row>
    <row r="236" spans="1:49" ht="14" x14ac:dyDescent="0.15">
      <c r="A236" s="161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</row>
    <row r="237" spans="1:49" ht="14" x14ac:dyDescent="0.15">
      <c r="A237" s="161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</row>
    <row r="238" spans="1:49" ht="14" x14ac:dyDescent="0.15">
      <c r="A238" s="161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</row>
    <row r="239" spans="1:49" ht="14" x14ac:dyDescent="0.15">
      <c r="A239" s="161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</row>
    <row r="240" spans="1:49" ht="14" x14ac:dyDescent="0.15">
      <c r="A240" s="161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</row>
    <row r="241" spans="1:49" ht="14" x14ac:dyDescent="0.15">
      <c r="A241" s="161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</row>
    <row r="242" spans="1:49" ht="14" x14ac:dyDescent="0.15">
      <c r="A242" s="161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</row>
    <row r="243" spans="1:49" ht="14" x14ac:dyDescent="0.15">
      <c r="A243" s="161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</row>
    <row r="244" spans="1:49" ht="14" x14ac:dyDescent="0.15">
      <c r="A244" s="161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</row>
    <row r="245" spans="1:49" ht="14" x14ac:dyDescent="0.15">
      <c r="A245" s="161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</row>
    <row r="246" spans="1:49" ht="14" x14ac:dyDescent="0.15">
      <c r="A246" s="161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</row>
    <row r="247" spans="1:49" ht="14" x14ac:dyDescent="0.15">
      <c r="A247" s="161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</row>
    <row r="248" spans="1:49" ht="14" x14ac:dyDescent="0.15">
      <c r="A248" s="161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</row>
    <row r="249" spans="1:49" ht="14" x14ac:dyDescent="0.15">
      <c r="A249" s="161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</row>
    <row r="250" spans="1:49" ht="14" x14ac:dyDescent="0.15">
      <c r="A250" s="161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</row>
    <row r="251" spans="1:49" ht="14" x14ac:dyDescent="0.15">
      <c r="A251" s="161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</row>
  </sheetData>
  <sheetProtection algorithmName="SHA-512" hashValue="JV75VBV81TtQw6t6c0hk2bIqA7YBaaTw7/b42DSfHun7UWey3lNi1//PcoYSu/wlclRT6vRunHwojXN1skwmcw==" saltValue="twwzYGdX7s5ihI6FKAYosw==" spinCount="100000" sheet="1" objects="1" scenarios="1"/>
  <conditionalFormatting sqref="A8:T23 A32:T45 A54:T68">
    <cfRule type="expression" dxfId="4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7" max="16383" man="1" pt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54CA0-EB30-E542-A5C7-57A38923BD13}">
  <sheetPr codeName="Sheet6">
    <tabColor theme="9"/>
  </sheetPr>
  <dimension ref="A1:EC450"/>
  <sheetViews>
    <sheetView zoomScale="92" zoomScaleNormal="92" zoomScalePageLayoutView="125" workbookViewId="0">
      <selection activeCell="W52" sqref="W52"/>
    </sheetView>
  </sheetViews>
  <sheetFormatPr baseColWidth="10" defaultRowHeight="13" x14ac:dyDescent="0.15"/>
  <cols>
    <col min="1" max="1" width="20.33203125" style="212" customWidth="1"/>
    <col min="2" max="2" width="22.6640625" style="212" bestFit="1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14" customWidth="1"/>
    <col min="50" max="133" width="10.83203125" style="214"/>
    <col min="134" max="16384" width="10.83203125" style="212"/>
  </cols>
  <sheetData>
    <row r="1" spans="1:133" s="214" customFormat="1" ht="14" x14ac:dyDescent="0.15">
      <c r="A1" s="213" t="s">
        <v>31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</row>
    <row r="2" spans="1:133" s="214" customFormat="1" ht="14" x14ac:dyDescent="0.15">
      <c r="A2" s="215" t="s">
        <v>236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</row>
    <row r="3" spans="1:133" s="214" customFormat="1" ht="15" thickBot="1" x14ac:dyDescent="0.2">
      <c r="A3" s="213"/>
      <c r="B3" s="213"/>
      <c r="C3" s="213"/>
      <c r="D3" s="213"/>
      <c r="E3" s="213"/>
      <c r="F3" s="213"/>
      <c r="G3" s="216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</row>
    <row r="4" spans="1:133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7"/>
      <c r="P4" s="167"/>
      <c r="Q4" s="166"/>
      <c r="R4" s="166"/>
      <c r="S4" s="166"/>
      <c r="T4" s="168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</row>
    <row r="5" spans="1:133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71"/>
      <c r="P5" s="171"/>
      <c r="Q5" s="134"/>
      <c r="R5" s="134"/>
      <c r="S5" s="134"/>
      <c r="T5" s="172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</row>
    <row r="6" spans="1:133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71"/>
      <c r="P6" s="171"/>
      <c r="Q6" s="134"/>
      <c r="R6" s="134"/>
      <c r="S6" s="134"/>
      <c r="T6" s="172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</row>
    <row r="7" spans="1:133" ht="75" x14ac:dyDescent="0.15">
      <c r="A7" s="230" t="s">
        <v>216</v>
      </c>
      <c r="B7" s="232" t="s">
        <v>198</v>
      </c>
      <c r="C7" s="173" t="s">
        <v>199</v>
      </c>
      <c r="D7" s="173" t="s">
        <v>200</v>
      </c>
      <c r="E7" s="173" t="s">
        <v>201</v>
      </c>
      <c r="F7" s="173" t="s">
        <v>202</v>
      </c>
      <c r="G7" s="173" t="s">
        <v>163</v>
      </c>
      <c r="H7" s="173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</row>
    <row r="8" spans="1:133" ht="14" x14ac:dyDescent="0.15">
      <c r="A8" s="179" t="str">
        <f>'SA Apr 2018'!K2</f>
        <v>AGL</v>
      </c>
      <c r="B8" s="180" t="str">
        <f>'SA Apr 2018'!L2</f>
        <v xml:space="preserve">Business Savers </v>
      </c>
      <c r="C8" s="181">
        <f>91*'SA Apr 2018'!M2/100</f>
        <v>82.81</v>
      </c>
      <c r="D8" s="181">
        <f>$C$5*'SA Apr 2018'!N2/100</f>
        <v>2150</v>
      </c>
      <c r="E8" s="181">
        <v>0</v>
      </c>
      <c r="F8" s="182">
        <v>0</v>
      </c>
      <c r="G8" s="183">
        <v>0</v>
      </c>
      <c r="H8" s="184">
        <f>IF(($C$5&lt;'SA Apr 2018'!P2),(0),('SA Bills April 2018'!$C$5-'SA Apr 2018'!P2)*'SA Apr 2018'!Q2/100)</f>
        <v>0</v>
      </c>
      <c r="I8" s="185">
        <f>SUM(C8:H8)</f>
        <v>2232.81</v>
      </c>
      <c r="J8" s="186">
        <f>I8*4</f>
        <v>8931.24</v>
      </c>
      <c r="K8" s="187">
        <f>'SA Apr 2018'!AZ2</f>
        <v>0</v>
      </c>
      <c r="L8" s="187">
        <f>'SA Apr 2018'!BA2</f>
        <v>16</v>
      </c>
      <c r="M8" s="187">
        <f>'SA Apr 2018'!BB2</f>
        <v>0</v>
      </c>
      <c r="N8" s="187">
        <f>'SA Apr 2018'!BC2</f>
        <v>0</v>
      </c>
      <c r="O8" s="186">
        <f>J8-((I8-C8)*L8/100)*4</f>
        <v>7555.24</v>
      </c>
      <c r="P8" s="186">
        <f>O8</f>
        <v>7555.24</v>
      </c>
      <c r="Q8" s="186">
        <f>O8*1.1</f>
        <v>8310.764000000001</v>
      </c>
      <c r="R8" s="186">
        <f>P8*1.1</f>
        <v>8310.764000000001</v>
      </c>
      <c r="S8" s="218">
        <f>'SA Apr 2018'!BJ2</f>
        <v>0</v>
      </c>
      <c r="T8" s="219" t="str">
        <f>'SA Apr 2018'!BK2</f>
        <v>n</v>
      </c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</row>
    <row r="9" spans="1:133" s="220" customFormat="1" ht="14" x14ac:dyDescent="0.15">
      <c r="A9" s="179" t="str">
        <f>'SA Apr 2018'!K3</f>
        <v>Alinta Energy</v>
      </c>
      <c r="B9" s="180" t="str">
        <f>'SA Apr 2018'!L3</f>
        <v>Business Saver</v>
      </c>
      <c r="C9" s="181">
        <f>91*'SA Apr 2018'!M3/100</f>
        <v>89.380200000000002</v>
      </c>
      <c r="D9" s="181">
        <f>IF($C$5&gt;='SA Apr 2018'!P3,('SA Apr 2018'!P3*'SA Apr 2018'!N3/100),('SA Bills April 2018'!$C$5*'SA Apr 2018'!N3/100))</f>
        <v>1108.25</v>
      </c>
      <c r="E9" s="181">
        <v>0</v>
      </c>
      <c r="F9" s="182">
        <v>0</v>
      </c>
      <c r="G9" s="183">
        <v>0</v>
      </c>
      <c r="H9" s="184">
        <f>IF(($C$5&lt;'SA Apr 2018'!P3),(0),('SA Bills April 2018'!$C$5-'SA Apr 2018'!P3)*'SA Apr 2018'!Q3/100)</f>
        <v>1122.25</v>
      </c>
      <c r="I9" s="185">
        <f t="shared" ref="I9:I23" si="0">SUM(C9:H9)</f>
        <v>2319.8802000000001</v>
      </c>
      <c r="J9" s="186">
        <f t="shared" ref="J9:J23" si="1">I9*4</f>
        <v>9279.5208000000002</v>
      </c>
      <c r="K9" s="187">
        <f>'SA Apr 2018'!AZ3</f>
        <v>0</v>
      </c>
      <c r="L9" s="187">
        <f>'SA Apr 2018'!BA3</f>
        <v>0</v>
      </c>
      <c r="M9" s="187">
        <f>'SA Apr 2018'!BB3</f>
        <v>0</v>
      </c>
      <c r="N9" s="187">
        <f>'SA Apr 2018'!BC3</f>
        <v>28</v>
      </c>
      <c r="O9" s="186">
        <f>J9</f>
        <v>9279.5208000000002</v>
      </c>
      <c r="P9" s="186">
        <f>O9-((I9-C9)*N9/100)*4</f>
        <v>6781.3608000000004</v>
      </c>
      <c r="Q9" s="186">
        <f t="shared" ref="Q9:R23" si="2">O9*1.1</f>
        <v>10207.472880000001</v>
      </c>
      <c r="R9" s="186">
        <f t="shared" si="2"/>
        <v>7459.4968800000006</v>
      </c>
      <c r="S9" s="218">
        <f>'SA Apr 2018'!BJ3</f>
        <v>0</v>
      </c>
      <c r="T9" s="219" t="str">
        <f>'SA Apr 2018'!BK3</f>
        <v>n</v>
      </c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4"/>
      <c r="EB9" s="214"/>
      <c r="EC9" s="214"/>
    </row>
    <row r="10" spans="1:133" ht="14" x14ac:dyDescent="0.15">
      <c r="A10" s="179" t="str">
        <f>'SA Apr 2018'!K4</f>
        <v>Click Energy</v>
      </c>
      <c r="B10" s="180" t="str">
        <f>'SA Apr 2018'!L4</f>
        <v>Click Business</v>
      </c>
      <c r="C10" s="181">
        <f>91*'SA Apr 2018'!M4/100</f>
        <v>75.825749999999999</v>
      </c>
      <c r="D10" s="181">
        <f>C5*'SA Apr 2018'!N4/100</f>
        <v>2323</v>
      </c>
      <c r="E10" s="181">
        <v>0</v>
      </c>
      <c r="F10" s="182">
        <v>0</v>
      </c>
      <c r="G10" s="183">
        <v>0</v>
      </c>
      <c r="H10" s="184">
        <f>IF(($C$5&lt;'SA Apr 2018'!P4),(0),('SA Bills April 2018'!$C$5-'SA Apr 2018'!P4)*'SA Apr 2018'!Q4/100)</f>
        <v>0</v>
      </c>
      <c r="I10" s="185">
        <f t="shared" si="0"/>
        <v>2398.82575</v>
      </c>
      <c r="J10" s="186">
        <f t="shared" si="1"/>
        <v>9595.3029999999999</v>
      </c>
      <c r="K10" s="187">
        <f>'SA Apr 2018'!AZ4</f>
        <v>0</v>
      </c>
      <c r="L10" s="187">
        <f>'SA Apr 2018'!BA4</f>
        <v>0</v>
      </c>
      <c r="M10" s="187">
        <f>'SA Apr 2018'!BB4</f>
        <v>7</v>
      </c>
      <c r="N10" s="187">
        <f>'SA Apr 2018'!BC4</f>
        <v>0</v>
      </c>
      <c r="O10" s="186">
        <f>J10</f>
        <v>9595.3029999999999</v>
      </c>
      <c r="P10" s="186">
        <f>O10-(O10*M10/100)</f>
        <v>8923.6317899999995</v>
      </c>
      <c r="Q10" s="186">
        <f t="shared" si="2"/>
        <v>10554.8333</v>
      </c>
      <c r="R10" s="186">
        <f t="shared" si="2"/>
        <v>9815.9949689999994</v>
      </c>
      <c r="S10" s="218">
        <f>'SA Apr 2018'!BJ4</f>
        <v>0</v>
      </c>
      <c r="T10" s="219" t="str">
        <f>'SA Apr 2018'!BK4</f>
        <v>n</v>
      </c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</row>
    <row r="11" spans="1:133" s="220" customFormat="1" ht="14" x14ac:dyDescent="0.15">
      <c r="A11" s="179" t="str">
        <f>'SA Apr 2018'!K5</f>
        <v>Commander</v>
      </c>
      <c r="B11" s="180" t="str">
        <f>'SA Apr 2018'!L5</f>
        <v>Market offer</v>
      </c>
      <c r="C11" s="181">
        <f>91*'SA Apr 2018'!M5/100</f>
        <v>81.444999999999993</v>
      </c>
      <c r="D11" s="181">
        <f>$C$5*'SA Apr 2018'!N5/100</f>
        <v>2197.5</v>
      </c>
      <c r="E11" s="181">
        <v>0</v>
      </c>
      <c r="F11" s="182">
        <v>0</v>
      </c>
      <c r="G11" s="183">
        <v>0</v>
      </c>
      <c r="H11" s="184">
        <f>IF(($C$5&lt;'SA Apr 2018'!P5),(0),('SA Bills April 2018'!$C$5-'SA Apr 2018'!P5)*'SA Apr 2018'!Q5/100)</f>
        <v>0</v>
      </c>
      <c r="I11" s="185">
        <f t="shared" si="0"/>
        <v>2278.9450000000002</v>
      </c>
      <c r="J11" s="186">
        <f t="shared" si="1"/>
        <v>9115.7800000000007</v>
      </c>
      <c r="K11" s="187">
        <f>'SA Apr 2018'!AZ5</f>
        <v>0</v>
      </c>
      <c r="L11" s="187">
        <f>'SA Apr 2018'!BA5</f>
        <v>0</v>
      </c>
      <c r="M11" s="187">
        <f>'SA Apr 2018'!BB5</f>
        <v>0</v>
      </c>
      <c r="N11" s="187">
        <f>'SA Apr 2018'!BC5</f>
        <v>20</v>
      </c>
      <c r="O11" s="186">
        <f>J11</f>
        <v>9115.7800000000007</v>
      </c>
      <c r="P11" s="186">
        <f>O11-((I11-C11)*N11/100)*4</f>
        <v>7357.7800000000007</v>
      </c>
      <c r="Q11" s="186">
        <f t="shared" si="2"/>
        <v>10027.358000000002</v>
      </c>
      <c r="R11" s="186">
        <f t="shared" si="2"/>
        <v>8093.5580000000018</v>
      </c>
      <c r="S11" s="218">
        <f>'SA Apr 2018'!BJ5</f>
        <v>0</v>
      </c>
      <c r="T11" s="219" t="str">
        <f>'SA Apr 2018'!BK5</f>
        <v>n</v>
      </c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  <c r="DN11" s="214"/>
      <c r="DO11" s="214"/>
      <c r="DP11" s="214"/>
      <c r="DQ11" s="214"/>
      <c r="DR11" s="214"/>
      <c r="DS11" s="214"/>
      <c r="DT11" s="214"/>
      <c r="DU11" s="214"/>
      <c r="DV11" s="214"/>
      <c r="DW11" s="214"/>
      <c r="DX11" s="214"/>
      <c r="DY11" s="214"/>
      <c r="DZ11" s="214"/>
      <c r="EA11" s="214"/>
      <c r="EB11" s="214"/>
      <c r="EC11" s="214"/>
    </row>
    <row r="12" spans="1:133" ht="14" x14ac:dyDescent="0.15">
      <c r="A12" s="179" t="str">
        <f>'SA Apr 2018'!K6</f>
        <v>Diamond Energy</v>
      </c>
      <c r="B12" s="180" t="str">
        <f>'SA Apr 2018'!L6</f>
        <v>Pay on time discount</v>
      </c>
      <c r="C12" s="181">
        <f>91*'SA Apr 2018'!M6/100</f>
        <v>90.545000000000002</v>
      </c>
      <c r="D12" s="181">
        <f>IF($C$5&gt;='SA Apr 2018'!P6,('SA Apr 2018'!P6*'SA Apr 2018'!N6/100),('SA Bills April 2018'!$C$5*'SA Apr 2018'!N6/100))</f>
        <v>389</v>
      </c>
      <c r="E12" s="181">
        <f>IF($C5&lt;'SA Apr 2018'!P6,0,IF(($C5-'SA Apr 2018'!P6)&lt;='SA Apr 2018'!R6,(($C5-'SA Apr 2018'!P6)*'SA Apr 2018'!Q6/100),((('SA Apr 2018'!R6+'SA Apr 2018'!P6)-('SA Apr 2018'!P6))*'SA Apr 2018'!Q6/100)))</f>
        <v>599.25000000000011</v>
      </c>
      <c r="F12" s="182">
        <v>0</v>
      </c>
      <c r="G12" s="183">
        <v>0</v>
      </c>
      <c r="H12" s="184">
        <f>IF(($C$5&lt;'SA Apr 2018'!R6+'SA Apr 2018'!P6),(0),(('SA Bills April 2018'!$C$5-('SA Apr 2018'!R6+'SA Apr 2018'!P6))*'SA Apr 2018'!S6/100))</f>
        <v>1024.4999999999998</v>
      </c>
      <c r="I12" s="185">
        <f t="shared" si="0"/>
        <v>2103.2950000000001</v>
      </c>
      <c r="J12" s="186">
        <f t="shared" si="1"/>
        <v>8413.18</v>
      </c>
      <c r="K12" s="187">
        <f>'SA Apr 2018'!AZ6</f>
        <v>0</v>
      </c>
      <c r="L12" s="187">
        <f>'SA Apr 2018'!BA6</f>
        <v>0</v>
      </c>
      <c r="M12" s="187">
        <f>'SA Apr 2018'!BB6</f>
        <v>7</v>
      </c>
      <c r="N12" s="187">
        <f>'SA Apr 2018'!BC6</f>
        <v>0</v>
      </c>
      <c r="O12" s="186">
        <f>J12</f>
        <v>8413.18</v>
      </c>
      <c r="P12" s="186">
        <f>O12-(O12*M12/100)</f>
        <v>7824.2574000000004</v>
      </c>
      <c r="Q12" s="186">
        <f t="shared" si="2"/>
        <v>9254.4980000000014</v>
      </c>
      <c r="R12" s="186">
        <f t="shared" si="2"/>
        <v>8606.683140000001</v>
      </c>
      <c r="S12" s="218">
        <f>'SA Apr 2018'!BJ6</f>
        <v>24</v>
      </c>
      <c r="T12" s="219" t="str">
        <f>'SA Apr 2018'!BK6</f>
        <v>y</v>
      </c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</row>
    <row r="13" spans="1:133" s="220" customFormat="1" ht="14" x14ac:dyDescent="0.15">
      <c r="A13" s="179" t="str">
        <f>'SA Apr 2018'!K7</f>
        <v>EnergyAustralia</v>
      </c>
      <c r="B13" s="180" t="str">
        <f>'SA Apr 2018'!L7</f>
        <v>Everyday Saver Business</v>
      </c>
      <c r="C13" s="181">
        <f>91*'SA Apr 2018'!M7/100</f>
        <v>81.536000000000001</v>
      </c>
      <c r="D13" s="181">
        <f>$C$5*'SA Apr 2018'!N7/100</f>
        <v>2310</v>
      </c>
      <c r="E13" s="181">
        <v>0</v>
      </c>
      <c r="F13" s="182">
        <v>0</v>
      </c>
      <c r="G13" s="183">
        <v>0</v>
      </c>
      <c r="H13" s="184">
        <f>IF(($C$5&lt;'SA Apr 2018'!P7),(0),('SA Bills April 2018'!$C$5-'SA Apr 2018'!P7)*'SA Apr 2018'!Q7/100)</f>
        <v>0</v>
      </c>
      <c r="I13" s="185">
        <f t="shared" si="0"/>
        <v>2391.5360000000001</v>
      </c>
      <c r="J13" s="186">
        <f t="shared" si="1"/>
        <v>9566.1440000000002</v>
      </c>
      <c r="K13" s="187">
        <f>'SA Apr 2018'!AZ7</f>
        <v>0</v>
      </c>
      <c r="L13" s="187">
        <f>'SA Apr 2018'!BA7</f>
        <v>16</v>
      </c>
      <c r="M13" s="187">
        <f>'SA Apr 2018'!BB7</f>
        <v>0</v>
      </c>
      <c r="N13" s="187">
        <f>'SA Apr 2018'!BC7</f>
        <v>0</v>
      </c>
      <c r="O13" s="186">
        <f>J13-((I13-C13)*L13/100)*4</f>
        <v>8087.7440000000006</v>
      </c>
      <c r="P13" s="186">
        <f>O13</f>
        <v>8087.7440000000006</v>
      </c>
      <c r="Q13" s="186">
        <f t="shared" si="2"/>
        <v>8896.5184000000008</v>
      </c>
      <c r="R13" s="186">
        <f t="shared" si="2"/>
        <v>8896.5184000000008</v>
      </c>
      <c r="S13" s="218">
        <f>'SA Apr 2018'!BJ7</f>
        <v>24</v>
      </c>
      <c r="T13" s="219" t="str">
        <f>'SA Apr 2018'!BK7</f>
        <v>y</v>
      </c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214"/>
      <c r="DZ13" s="214"/>
      <c r="EA13" s="214"/>
      <c r="EB13" s="214"/>
      <c r="EC13" s="214"/>
    </row>
    <row r="14" spans="1:133" ht="14" x14ac:dyDescent="0.15">
      <c r="A14" s="179" t="str">
        <f>'SA Apr 2018'!K8</f>
        <v>ERM Power</v>
      </c>
      <c r="B14" s="180" t="str">
        <f>'SA Apr 2018'!L8</f>
        <v>Adjustable</v>
      </c>
      <c r="C14" s="181">
        <f>91*'SA Apr 2018'!M8/100</f>
        <v>100.1</v>
      </c>
      <c r="D14" s="181">
        <f>C5*'SA Apr 2018'!N8/100</f>
        <v>2176.0000000000005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2276.1000000000004</v>
      </c>
      <c r="J14" s="186">
        <f t="shared" si="1"/>
        <v>9104.4000000000015</v>
      </c>
      <c r="K14" s="187">
        <f>'SA Apr 2018'!AZ8</f>
        <v>0</v>
      </c>
      <c r="L14" s="187">
        <f>'SA Apr 2018'!BA8</f>
        <v>0</v>
      </c>
      <c r="M14" s="187">
        <f>'SA Apr 2018'!BB8</f>
        <v>0</v>
      </c>
      <c r="N14" s="187">
        <f>'SA Apr 2018'!BC8</f>
        <v>0</v>
      </c>
      <c r="O14" s="186">
        <f>J14</f>
        <v>9104.4000000000015</v>
      </c>
      <c r="P14" s="186">
        <f>O14</f>
        <v>9104.4000000000015</v>
      </c>
      <c r="Q14" s="186">
        <f t="shared" si="2"/>
        <v>10014.840000000002</v>
      </c>
      <c r="R14" s="186">
        <f t="shared" si="2"/>
        <v>10014.840000000002</v>
      </c>
      <c r="S14" s="218">
        <f>'SA Apr 2018'!BJ8</f>
        <v>0</v>
      </c>
      <c r="T14" s="219" t="str">
        <f>'SA Apr 2018'!BK8</f>
        <v>n</v>
      </c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</row>
    <row r="15" spans="1:133" s="220" customFormat="1" ht="14" x14ac:dyDescent="0.15">
      <c r="A15" s="179" t="str">
        <f>'SA Apr 2018'!K9</f>
        <v>Lumo Energy</v>
      </c>
      <c r="B15" s="180" t="str">
        <f>'SA Apr 2018'!L9</f>
        <v>Business Premium</v>
      </c>
      <c r="C15" s="181">
        <f>91*'SA Apr 2018'!M9/100</f>
        <v>78.587600000000009</v>
      </c>
      <c r="D15" s="181">
        <f>IF($C$5&gt;='SA Apr 2018'!P9,('SA Apr 2018'!P9*'SA Apr 2018'!N9/100),('SA Bills April 2018'!$C$5*'SA Apr 2018'!N9/100))</f>
        <v>832.5</v>
      </c>
      <c r="E15" s="181">
        <v>0</v>
      </c>
      <c r="F15" s="182">
        <v>0</v>
      </c>
      <c r="G15" s="183">
        <v>0</v>
      </c>
      <c r="H15" s="184">
        <f>IF(($C$5&lt;'SA Apr 2018'!P9),(0),('SA Bills April 2018'!$C$5-'SA Apr 2018'!P9)*'SA Apr 2018'!Q9/100)</f>
        <v>875</v>
      </c>
      <c r="I15" s="185">
        <f t="shared" si="0"/>
        <v>1786.0876000000001</v>
      </c>
      <c r="J15" s="186">
        <f t="shared" si="1"/>
        <v>7144.3504000000003</v>
      </c>
      <c r="K15" s="187">
        <f>'SA Apr 2018'!AZ9</f>
        <v>0</v>
      </c>
      <c r="L15" s="187">
        <f>'SA Apr 2018'!BA9</f>
        <v>0</v>
      </c>
      <c r="M15" s="187">
        <f>'SA Apr 2018'!BB9</f>
        <v>0</v>
      </c>
      <c r="N15" s="187">
        <f>'SA Apr 2018'!BC9</f>
        <v>0</v>
      </c>
      <c r="O15" s="186">
        <f t="shared" ref="O15:O16" si="3">J15</f>
        <v>7144.3504000000003</v>
      </c>
      <c r="P15" s="186">
        <f t="shared" ref="P15:P18" si="4">O15</f>
        <v>7144.3504000000003</v>
      </c>
      <c r="Q15" s="186">
        <f t="shared" si="2"/>
        <v>7858.7854400000006</v>
      </c>
      <c r="R15" s="186">
        <f t="shared" si="2"/>
        <v>7858.7854400000006</v>
      </c>
      <c r="S15" s="218">
        <f>'SA Apr 2018'!BJ9</f>
        <v>36</v>
      </c>
      <c r="T15" s="219" t="str">
        <f>'SA Apr 2018'!BK9</f>
        <v>n</v>
      </c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  <c r="DS15" s="214"/>
      <c r="DT15" s="214"/>
      <c r="DU15" s="214"/>
      <c r="DV15" s="214"/>
      <c r="DW15" s="214"/>
      <c r="DX15" s="214"/>
      <c r="DY15" s="214"/>
      <c r="DZ15" s="214"/>
      <c r="EA15" s="214"/>
      <c r="EB15" s="214"/>
      <c r="EC15" s="214"/>
    </row>
    <row r="16" spans="1:133" ht="14" x14ac:dyDescent="0.15">
      <c r="A16" s="179" t="str">
        <f>'SA Apr 2018'!K10</f>
        <v>Momentum Energy</v>
      </c>
      <c r="B16" s="180" t="str">
        <f>'SA Apr 2018'!L10</f>
        <v>SmilePower</v>
      </c>
      <c r="C16" s="181">
        <f>91*'SA Apr 2018'!M10/100</f>
        <v>80.753399999999999</v>
      </c>
      <c r="D16" s="181">
        <f>IF($C$5&gt;='SA Apr 2018'!P10,('SA Apr 2018'!P10*'SA Apr 2018'!N10/100),('SA Bills April 2018'!$C$5*'SA Apr 2018'!N10/100))</f>
        <v>503.16</v>
      </c>
      <c r="E16" s="181">
        <v>0</v>
      </c>
      <c r="F16" s="182">
        <v>0</v>
      </c>
      <c r="G16" s="183">
        <v>0</v>
      </c>
      <c r="H16" s="184">
        <f>IF(($C$5&lt;'SA Apr 2018'!P10),(0),('SA Bills April 2018'!$C$5-'SA Apr 2018'!P10)*'SA Apr 2018'!Q10/100)</f>
        <v>1561.42</v>
      </c>
      <c r="I16" s="185">
        <f t="shared" si="0"/>
        <v>2145.3334</v>
      </c>
      <c r="J16" s="186">
        <f t="shared" si="1"/>
        <v>8581.3335999999999</v>
      </c>
      <c r="K16" s="187">
        <f>'SA Apr 2018'!AZ10</f>
        <v>0</v>
      </c>
      <c r="L16" s="187">
        <f>'SA Apr 2018'!BA10</f>
        <v>0</v>
      </c>
      <c r="M16" s="187">
        <f>'SA Apr 2018'!BB10</f>
        <v>0</v>
      </c>
      <c r="N16" s="187">
        <f>'SA Apr 2018'!BC10</f>
        <v>0</v>
      </c>
      <c r="O16" s="186">
        <f t="shared" si="3"/>
        <v>8581.3335999999999</v>
      </c>
      <c r="P16" s="186">
        <f t="shared" si="4"/>
        <v>8581.3335999999999</v>
      </c>
      <c r="Q16" s="186">
        <f t="shared" si="2"/>
        <v>9439.4669600000016</v>
      </c>
      <c r="R16" s="186">
        <f t="shared" si="2"/>
        <v>9439.4669600000016</v>
      </c>
      <c r="S16" s="218">
        <f>'SA Apr 2018'!BJ10</f>
        <v>12</v>
      </c>
      <c r="T16" s="219" t="str">
        <f>'SA Apr 2018'!BK10</f>
        <v>y</v>
      </c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</row>
    <row r="17" spans="1:133" s="220" customFormat="1" ht="14" x14ac:dyDescent="0.15">
      <c r="A17" s="179" t="str">
        <f>'SA Apr 2018'!K11</f>
        <v>Origin Energy</v>
      </c>
      <c r="B17" s="180" t="str">
        <f>'SA Apr 2018'!L11</f>
        <v>Business Saver</v>
      </c>
      <c r="C17" s="181">
        <f>91*'SA Apr 2018'!M11/100</f>
        <v>82.764500000000012</v>
      </c>
      <c r="D17" s="181">
        <f>C5*'SA Apr 2018'!N11/100</f>
        <v>2016.5</v>
      </c>
      <c r="E17" s="181">
        <v>0</v>
      </c>
      <c r="F17" s="182">
        <v>0</v>
      </c>
      <c r="G17" s="183">
        <v>0</v>
      </c>
      <c r="H17" s="184">
        <f>IF(($C$5&lt;'SA Apr 2018'!P11),(0),('SA Bills April 2018'!$C$5-'SA Apr 2018'!P11)*'SA Apr 2018'!Q11/100)</f>
        <v>0</v>
      </c>
      <c r="I17" s="185">
        <f t="shared" si="0"/>
        <v>2099.2645000000002</v>
      </c>
      <c r="J17" s="186">
        <f t="shared" si="1"/>
        <v>8397.0580000000009</v>
      </c>
      <c r="K17" s="187">
        <f>'SA Apr 2018'!AZ11</f>
        <v>0</v>
      </c>
      <c r="L17" s="187">
        <f>'SA Apr 2018'!BA11</f>
        <v>16</v>
      </c>
      <c r="M17" s="187">
        <f>'SA Apr 2018'!BB11</f>
        <v>0</v>
      </c>
      <c r="N17" s="187">
        <f>'SA Apr 2018'!BC11</f>
        <v>0</v>
      </c>
      <c r="O17" s="186">
        <f>J17-((I17-C17)*L17/100)*4</f>
        <v>7106.4980000000005</v>
      </c>
      <c r="P17" s="186">
        <f>O17</f>
        <v>7106.4980000000005</v>
      </c>
      <c r="Q17" s="186">
        <f t="shared" si="2"/>
        <v>7817.1478000000016</v>
      </c>
      <c r="R17" s="186">
        <f t="shared" si="2"/>
        <v>7817.1478000000016</v>
      </c>
      <c r="S17" s="218">
        <f>'SA Apr 2018'!BJ11</f>
        <v>12</v>
      </c>
      <c r="T17" s="219" t="str">
        <f>'SA Apr 2018'!BK11</f>
        <v>y</v>
      </c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4"/>
      <c r="DU17" s="214"/>
      <c r="DV17" s="214"/>
      <c r="DW17" s="214"/>
      <c r="DX17" s="214"/>
      <c r="DY17" s="214"/>
      <c r="DZ17" s="214"/>
      <c r="EA17" s="214"/>
      <c r="EB17" s="214"/>
      <c r="EC17" s="214"/>
    </row>
    <row r="18" spans="1:133" ht="14" x14ac:dyDescent="0.15">
      <c r="A18" s="179" t="str">
        <f>'SA Apr 2018'!K12</f>
        <v>Powerdirect</v>
      </c>
      <c r="B18" s="180" t="str">
        <f>'SA Apr 2018'!L12</f>
        <v>Quarterly read</v>
      </c>
      <c r="C18" s="181">
        <f>91*'SA Apr 2018'!M12/100</f>
        <v>82.81</v>
      </c>
      <c r="D18" s="181">
        <f>C5*'SA Apr 2018'!N12/100</f>
        <v>1806</v>
      </c>
      <c r="E18" s="181">
        <v>0</v>
      </c>
      <c r="F18" s="182">
        <v>0</v>
      </c>
      <c r="G18" s="183">
        <v>0</v>
      </c>
      <c r="H18" s="184">
        <f>IF(($C$5&lt;'SA Apr 2018'!P12),(0),('SA Bills April 2018'!$C$5-'SA Apr 2018'!P12)*'SA Apr 2018'!Q12/100)</f>
        <v>0</v>
      </c>
      <c r="I18" s="185">
        <f t="shared" si="0"/>
        <v>1888.81</v>
      </c>
      <c r="J18" s="186">
        <f t="shared" si="1"/>
        <v>7555.24</v>
      </c>
      <c r="K18" s="187">
        <f>'SA Apr 2018'!AZ12</f>
        <v>0</v>
      </c>
      <c r="L18" s="187">
        <f>'SA Apr 2018'!BA12</f>
        <v>0</v>
      </c>
      <c r="M18" s="187">
        <f>'SA Apr 2018'!BB12</f>
        <v>0</v>
      </c>
      <c r="N18" s="187">
        <f>'SA Apr 2018'!BC12</f>
        <v>0</v>
      </c>
      <c r="O18" s="186">
        <f t="shared" ref="O18" si="5">J18</f>
        <v>7555.24</v>
      </c>
      <c r="P18" s="186">
        <f t="shared" si="4"/>
        <v>7555.24</v>
      </c>
      <c r="Q18" s="186">
        <f t="shared" si="2"/>
        <v>8310.764000000001</v>
      </c>
      <c r="R18" s="186">
        <f t="shared" si="2"/>
        <v>8310.764000000001</v>
      </c>
      <c r="S18" s="218">
        <f>'SA Apr 2018'!BJ12</f>
        <v>0</v>
      </c>
      <c r="T18" s="219" t="str">
        <f>'SA Apr 2018'!BK12</f>
        <v>n</v>
      </c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</row>
    <row r="19" spans="1:133" s="220" customFormat="1" ht="14" x14ac:dyDescent="0.15">
      <c r="A19" s="179" t="str">
        <f>'SA Apr 2018'!K13</f>
        <v>Red Energy</v>
      </c>
      <c r="B19" s="180" t="str">
        <f>'SA Apr 2018'!L13</f>
        <v>No exit fee saver</v>
      </c>
      <c r="C19" s="181">
        <f>91*'SA Apr 2018'!M13/100</f>
        <v>93.275000000000006</v>
      </c>
      <c r="D19" s="181">
        <f>IF($C$5&gt;='SA Apr 2018'!P13,('SA Apr 2018'!P13*'SA Apr 2018'!N13/100),('SA Bills April 2018'!$C$5*'SA Apr 2018'!N13/100))</f>
        <v>1020</v>
      </c>
      <c r="E19" s="181">
        <v>0</v>
      </c>
      <c r="F19" s="182">
        <v>0</v>
      </c>
      <c r="G19" s="183">
        <v>0</v>
      </c>
      <c r="H19" s="184">
        <f>IF(($C$5&lt;'SA Apr 2018'!P13),(0),('SA Bills April 2018'!$C$5-'SA Apr 2018'!P13)*'SA Apr 2018'!Q13/100)</f>
        <v>1070.75</v>
      </c>
      <c r="I19" s="185">
        <f t="shared" si="0"/>
        <v>2184.0250000000001</v>
      </c>
      <c r="J19" s="186">
        <f t="shared" si="1"/>
        <v>8736.1</v>
      </c>
      <c r="K19" s="187">
        <f>'SA Apr 2018'!AZ13</f>
        <v>0</v>
      </c>
      <c r="L19" s="187">
        <f>'SA Apr 2018'!BA13</f>
        <v>0</v>
      </c>
      <c r="M19" s="187">
        <f>'SA Apr 2018'!BB13</f>
        <v>10</v>
      </c>
      <c r="N19" s="187">
        <f>'SA Apr 2018'!BC13</f>
        <v>0</v>
      </c>
      <c r="O19" s="186">
        <f>J19</f>
        <v>8736.1</v>
      </c>
      <c r="P19" s="186">
        <f>O19-(O19*M19/100)</f>
        <v>7862.4900000000007</v>
      </c>
      <c r="Q19" s="186">
        <f t="shared" si="2"/>
        <v>9609.7100000000009</v>
      </c>
      <c r="R19" s="186">
        <f t="shared" si="2"/>
        <v>8648.7390000000014</v>
      </c>
      <c r="S19" s="218">
        <f>'SA Apr 2018'!BJ13</f>
        <v>0</v>
      </c>
      <c r="T19" s="219" t="str">
        <f>'SA Apr 2018'!BK13</f>
        <v>n</v>
      </c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</row>
    <row r="20" spans="1:133" ht="14" x14ac:dyDescent="0.15">
      <c r="A20" s="179" t="str">
        <f>'SA Apr 2018'!K14</f>
        <v>Simply Energy</v>
      </c>
      <c r="B20" s="180" t="str">
        <f>'SA Apr 2018'!L14</f>
        <v>Business Plus Online</v>
      </c>
      <c r="C20" s="181">
        <f>91*'SA Apr 2018'!M14/100</f>
        <v>90.626900000000006</v>
      </c>
      <c r="D20" s="181">
        <f>$C$5*'SA Apr 2018'!N14/100</f>
        <v>2043.5</v>
      </c>
      <c r="E20" s="181">
        <v>0</v>
      </c>
      <c r="F20" s="182">
        <v>0</v>
      </c>
      <c r="G20" s="183">
        <v>0</v>
      </c>
      <c r="H20" s="184">
        <f>IF(($C$5&lt;'SA Apr 2018'!P14),(0),('SA Bills April 2018'!$C$5-'SA Apr 2018'!P14)*'SA Apr 2018'!Q14/100)</f>
        <v>0</v>
      </c>
      <c r="I20" s="185">
        <f t="shared" si="0"/>
        <v>2134.1269000000002</v>
      </c>
      <c r="J20" s="186">
        <f t="shared" si="1"/>
        <v>8536.5076000000008</v>
      </c>
      <c r="K20" s="187">
        <f>'SA Apr 2018'!AZ14</f>
        <v>0</v>
      </c>
      <c r="L20" s="187">
        <f>'SA Apr 2018'!BA14</f>
        <v>15</v>
      </c>
      <c r="M20" s="187">
        <f>'SA Apr 2018'!BB14</f>
        <v>0</v>
      </c>
      <c r="N20" s="187">
        <f>'SA Apr 2018'!BC14</f>
        <v>0</v>
      </c>
      <c r="O20" s="186">
        <f>J20-((I20-C20)*L20/100)*4</f>
        <v>7310.4076000000005</v>
      </c>
      <c r="P20" s="186">
        <f>O20</f>
        <v>7310.4076000000005</v>
      </c>
      <c r="Q20" s="186">
        <f t="shared" si="2"/>
        <v>8041.4483600000012</v>
      </c>
      <c r="R20" s="186">
        <f t="shared" si="2"/>
        <v>8041.4483600000012</v>
      </c>
      <c r="S20" s="218">
        <f>'SA Apr 2018'!BJ14</f>
        <v>24</v>
      </c>
      <c r="T20" s="219" t="str">
        <f>'SA Apr 2018'!BK14</f>
        <v>y</v>
      </c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</row>
    <row r="21" spans="1:133" s="220" customFormat="1" ht="14" x14ac:dyDescent="0.15">
      <c r="A21" s="179" t="str">
        <f>'SA Apr 2018'!K15</f>
        <v>Blue NRG</v>
      </c>
      <c r="B21" s="180" t="str">
        <f>'SA Apr 2018'!L15</f>
        <v>Super Saver</v>
      </c>
      <c r="C21" s="181">
        <f>91*'SA Apr 2018'!M15/100</f>
        <v>91</v>
      </c>
      <c r="D21" s="181">
        <f>$C$5*'SA Apr 2018'!N15/100</f>
        <v>2000</v>
      </c>
      <c r="E21" s="181">
        <v>0</v>
      </c>
      <c r="F21" s="182">
        <v>0</v>
      </c>
      <c r="G21" s="183">
        <v>0</v>
      </c>
      <c r="H21" s="184">
        <f>IF(($C$5&lt;'SA Apr 2018'!P15),(0),('SA Bills April 2018'!$C$5-'SA Apr 2018'!P15)*'SA Apr 2018'!Q15/100)</f>
        <v>0</v>
      </c>
      <c r="I21" s="185">
        <f t="shared" si="0"/>
        <v>2091</v>
      </c>
      <c r="J21" s="186">
        <f t="shared" si="1"/>
        <v>8364</v>
      </c>
      <c r="K21" s="187">
        <f>'SA Apr 2018'!AZ15</f>
        <v>0</v>
      </c>
      <c r="L21" s="187">
        <f>'SA Apr 2018'!BA15</f>
        <v>0</v>
      </c>
      <c r="M21" s="187">
        <f>'SA Apr 2018'!BB15</f>
        <v>0</v>
      </c>
      <c r="N21" s="187">
        <f>'SA Apr 2018'!BC15</f>
        <v>0</v>
      </c>
      <c r="O21" s="186">
        <f>J21</f>
        <v>8364</v>
      </c>
      <c r="P21" s="186">
        <f t="shared" ref="P21:P22" si="6">O21</f>
        <v>8364</v>
      </c>
      <c r="Q21" s="186">
        <f t="shared" si="2"/>
        <v>9200.4000000000015</v>
      </c>
      <c r="R21" s="186">
        <f t="shared" si="2"/>
        <v>9200.4000000000015</v>
      </c>
      <c r="S21" s="218">
        <f>'SA Apr 2018'!BJ15</f>
        <v>0</v>
      </c>
      <c r="T21" s="219" t="str">
        <f>'SA Apr 2018'!BK15</f>
        <v>n</v>
      </c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214"/>
      <c r="DZ21" s="214"/>
      <c r="EA21" s="214"/>
      <c r="EB21" s="214"/>
      <c r="EC21" s="214"/>
    </row>
    <row r="22" spans="1:133" ht="14" x14ac:dyDescent="0.15">
      <c r="A22" s="179" t="str">
        <f>'SA Apr 2018'!K16</f>
        <v>Q Energy</v>
      </c>
      <c r="B22" s="180" t="str">
        <f>'SA Apr 2018'!L16</f>
        <v>Market Rate</v>
      </c>
      <c r="C22" s="181">
        <f>91*'SA Apr 2018'!M16/100</f>
        <v>99.877960000000002</v>
      </c>
      <c r="D22" s="181">
        <f>$C$5*'SA Apr 2018'!N16/100</f>
        <v>1951.2</v>
      </c>
      <c r="E22" s="181">
        <v>0</v>
      </c>
      <c r="F22" s="182">
        <v>0</v>
      </c>
      <c r="G22" s="183">
        <v>0</v>
      </c>
      <c r="H22" s="184">
        <f>IF(($C$5&lt;'SA Apr 2018'!P16),(0),('SA Bills April 2018'!$C$5-'SA Apr 2018'!P16)*'SA Apr 2018'!Q16/100)</f>
        <v>0</v>
      </c>
      <c r="I22" s="185">
        <f t="shared" si="0"/>
        <v>2051.0779600000001</v>
      </c>
      <c r="J22" s="186">
        <f t="shared" si="1"/>
        <v>8204.3118400000003</v>
      </c>
      <c r="K22" s="187">
        <f>'SA Apr 2018'!AZ16</f>
        <v>0</v>
      </c>
      <c r="L22" s="187">
        <f>'SA Apr 2018'!BA16</f>
        <v>0</v>
      </c>
      <c r="M22" s="187">
        <f>'SA Apr 2018'!BB16</f>
        <v>0</v>
      </c>
      <c r="N22" s="187">
        <f>'SA Apr 2018'!BC16</f>
        <v>0</v>
      </c>
      <c r="O22" s="186">
        <f>J22</f>
        <v>8204.3118400000003</v>
      </c>
      <c r="P22" s="186">
        <f t="shared" si="6"/>
        <v>8204.3118400000003</v>
      </c>
      <c r="Q22" s="186">
        <f t="shared" si="2"/>
        <v>9024.7430240000012</v>
      </c>
      <c r="R22" s="186">
        <f t="shared" si="2"/>
        <v>9024.7430240000012</v>
      </c>
      <c r="S22" s="218">
        <f>'SA Apr 2018'!BJ16</f>
        <v>24</v>
      </c>
      <c r="T22" s="219" t="str">
        <f>'SA Apr 2018'!BK16</f>
        <v>y</v>
      </c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</row>
    <row r="23" spans="1:133" s="220" customFormat="1" ht="15" thickBot="1" x14ac:dyDescent="0.2">
      <c r="A23" s="191" t="str">
        <f>'SA Apr 2018'!K17</f>
        <v>Amaysim</v>
      </c>
      <c r="B23" s="192" t="str">
        <f>'SA Apr 2018'!L17</f>
        <v>Business 1</v>
      </c>
      <c r="C23" s="193">
        <f>91*'SA Apr 2018'!M17/100</f>
        <v>75.075000000000003</v>
      </c>
      <c r="D23" s="193">
        <f>$C$5*'SA Apr 2018'!N17/100</f>
        <v>2300</v>
      </c>
      <c r="E23" s="193">
        <v>0</v>
      </c>
      <c r="F23" s="193">
        <v>0</v>
      </c>
      <c r="G23" s="194">
        <v>0</v>
      </c>
      <c r="H23" s="193">
        <f>IF(($C$5&lt;'SA Apr 2018'!P17),(0),('SA Bills April 2018'!$C$5-'SA Apr 2018'!P17)*'SA Apr 2018'!Q17/100)</f>
        <v>0</v>
      </c>
      <c r="I23" s="195">
        <f t="shared" si="0"/>
        <v>2375.0749999999998</v>
      </c>
      <c r="J23" s="196">
        <f t="shared" si="1"/>
        <v>9500.2999999999993</v>
      </c>
      <c r="K23" s="197">
        <f>'SA Apr 2018'!AZ17</f>
        <v>0</v>
      </c>
      <c r="L23" s="197">
        <f>'SA Apr 2018'!BA17</f>
        <v>0</v>
      </c>
      <c r="M23" s="197">
        <f>'SA Apr 2018'!BB17</f>
        <v>16</v>
      </c>
      <c r="N23" s="197">
        <f>'SA Apr 2018'!BC17</f>
        <v>0</v>
      </c>
      <c r="O23" s="196">
        <f>J23</f>
        <v>9500.2999999999993</v>
      </c>
      <c r="P23" s="196">
        <f>O23-(O23*M23/100)</f>
        <v>7980.2519999999995</v>
      </c>
      <c r="Q23" s="196">
        <f t="shared" si="2"/>
        <v>10450.33</v>
      </c>
      <c r="R23" s="196">
        <f t="shared" si="2"/>
        <v>8778.2772000000004</v>
      </c>
      <c r="S23" s="221">
        <f>'SA Apr 2018'!BJ17</f>
        <v>0</v>
      </c>
      <c r="T23" s="222" t="str">
        <f>'SA Apr 2018'!BK17</f>
        <v>n</v>
      </c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  <c r="DT23" s="214"/>
      <c r="DU23" s="214"/>
      <c r="DV23" s="214"/>
      <c r="DW23" s="214"/>
      <c r="DX23" s="214"/>
      <c r="DY23" s="214"/>
      <c r="DZ23" s="214"/>
      <c r="EA23" s="214"/>
      <c r="EB23" s="214"/>
      <c r="EC23" s="214"/>
    </row>
    <row r="24" spans="1:133" s="214" customFormat="1" ht="14" x14ac:dyDescent="0.15">
      <c r="A24" s="213"/>
      <c r="B24" s="213"/>
      <c r="C24" s="223"/>
      <c r="D24" s="223"/>
      <c r="E24" s="223"/>
      <c r="F24" s="223"/>
      <c r="G24" s="223"/>
      <c r="H24" s="223"/>
      <c r="I24" s="224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</row>
    <row r="25" spans="1:133" s="214" customFormat="1" ht="15" thickBot="1" x14ac:dyDescent="0.2">
      <c r="A25" s="213"/>
      <c r="B25" s="213"/>
      <c r="C25" s="223"/>
      <c r="D25" s="223"/>
      <c r="E25" s="223"/>
      <c r="F25" s="223"/>
      <c r="G25" s="223"/>
      <c r="H25" s="223"/>
      <c r="I25" s="224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</row>
    <row r="26" spans="1:133" ht="14" x14ac:dyDescent="0.15">
      <c r="A26" s="165" t="s">
        <v>84</v>
      </c>
      <c r="B26" s="166"/>
      <c r="C26" s="166"/>
      <c r="D26" s="202"/>
      <c r="E26" s="202"/>
      <c r="F26" s="202"/>
      <c r="G26" s="202"/>
      <c r="H26" s="202"/>
      <c r="I26" s="203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8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</row>
    <row r="27" spans="1:133" ht="14" x14ac:dyDescent="0.15">
      <c r="A27" s="169" t="s">
        <v>197</v>
      </c>
      <c r="B27" s="134"/>
      <c r="C27" s="170">
        <v>5000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</row>
    <row r="28" spans="1:133" ht="14" x14ac:dyDescent="0.15">
      <c r="A28" s="169" t="s">
        <v>85</v>
      </c>
      <c r="B28" s="134"/>
      <c r="C28" s="206">
        <v>0.7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</row>
    <row r="29" spans="1:133" ht="14" x14ac:dyDescent="0.15">
      <c r="A29" s="169" t="s">
        <v>171</v>
      </c>
      <c r="B29" s="134"/>
      <c r="C29" s="206">
        <v>0.3</v>
      </c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</row>
    <row r="30" spans="1:133" ht="14" x14ac:dyDescent="0.15">
      <c r="A30" s="169"/>
      <c r="B30" s="134"/>
      <c r="C30" s="204"/>
      <c r="D30" s="204"/>
      <c r="E30" s="204"/>
      <c r="F30" s="204"/>
      <c r="G30" s="204"/>
      <c r="H30" s="204"/>
      <c r="I30" s="205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72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</row>
    <row r="31" spans="1:133" ht="75" x14ac:dyDescent="0.15">
      <c r="A31" s="230" t="s">
        <v>216</v>
      </c>
      <c r="B31" s="232" t="s">
        <v>198</v>
      </c>
      <c r="C31" s="173" t="s">
        <v>199</v>
      </c>
      <c r="D31" s="173" t="s">
        <v>200</v>
      </c>
      <c r="E31" s="173" t="s">
        <v>201</v>
      </c>
      <c r="F31" s="173" t="s">
        <v>164</v>
      </c>
      <c r="G31" s="173" t="s">
        <v>84</v>
      </c>
      <c r="H31" s="173" t="s">
        <v>233</v>
      </c>
      <c r="I31" s="173" t="s">
        <v>165</v>
      </c>
      <c r="J31" s="174" t="s">
        <v>166</v>
      </c>
      <c r="K31" s="175" t="s">
        <v>167</v>
      </c>
      <c r="L31" s="175" t="s">
        <v>168</v>
      </c>
      <c r="M31" s="175" t="s">
        <v>169</v>
      </c>
      <c r="N31" s="175" t="s">
        <v>170</v>
      </c>
      <c r="O31" s="176" t="s">
        <v>579</v>
      </c>
      <c r="P31" s="176" t="s">
        <v>580</v>
      </c>
      <c r="Q31" s="176" t="s">
        <v>227</v>
      </c>
      <c r="R31" s="176" t="s">
        <v>272</v>
      </c>
      <c r="S31" s="175" t="s">
        <v>82</v>
      </c>
      <c r="T31" s="177" t="s">
        <v>83</v>
      </c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</row>
    <row r="32" spans="1:133" s="225" customFormat="1" ht="14" x14ac:dyDescent="0.15">
      <c r="A32" s="179" t="str">
        <f>'SA Apr 2018'!K18</f>
        <v>AGL</v>
      </c>
      <c r="B32" s="180" t="str">
        <f>'SA Apr 2018'!L18</f>
        <v xml:space="preserve">Business Savers </v>
      </c>
      <c r="C32" s="181">
        <f>91*'SA Apr 2018'!M18/100</f>
        <v>82.81</v>
      </c>
      <c r="D32" s="181">
        <f>($C$27*$C$28)*'SA Apr 2018'!N18/100</f>
        <v>1505</v>
      </c>
      <c r="E32" s="181">
        <v>0</v>
      </c>
      <c r="F32" s="182">
        <f>IF($C$27*$C$28&lt;'SA Apr 2018'!P18,(0),((('SA Bills April 2018'!$C$27*'SA Bills April 2018'!$C$28)-('SA Apr 2018'!P18))*'SA Apr 2018'!Q18/100))</f>
        <v>0</v>
      </c>
      <c r="G32" s="183">
        <f>($C$27*$C$29)*'SA Apr 2018'!AF18/100</f>
        <v>330</v>
      </c>
      <c r="H32" s="184">
        <v>0</v>
      </c>
      <c r="I32" s="185">
        <f t="shared" ref="I32:I46" si="7">SUM(C32:G32)</f>
        <v>1917.81</v>
      </c>
      <c r="J32" s="186">
        <f>I32*4</f>
        <v>7671.24</v>
      </c>
      <c r="K32" s="187">
        <f>'SA Apr 2018'!AZ18</f>
        <v>0</v>
      </c>
      <c r="L32" s="187">
        <f>'SA Apr 2018'!BA18</f>
        <v>16</v>
      </c>
      <c r="M32" s="187">
        <f>'SA Apr 2018'!BB18</f>
        <v>0</v>
      </c>
      <c r="N32" s="187">
        <f>'SA Apr 2018'!BC18</f>
        <v>0</v>
      </c>
      <c r="O32" s="186">
        <f>J32-((I32-C32)*L32/100)*4</f>
        <v>6496.84</v>
      </c>
      <c r="P32" s="186">
        <f>O32</f>
        <v>6496.84</v>
      </c>
      <c r="Q32" s="186">
        <f>O32*1.1</f>
        <v>7146.5240000000003</v>
      </c>
      <c r="R32" s="186">
        <f>P32*1.1</f>
        <v>7146.5240000000003</v>
      </c>
      <c r="S32" s="218">
        <f>'SA Apr 2018'!BJ26</f>
        <v>12</v>
      </c>
      <c r="T32" s="219" t="str">
        <f>'SA Apr 2018'!BK26</f>
        <v>y</v>
      </c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4"/>
      <c r="EB32" s="214"/>
      <c r="EC32" s="214"/>
    </row>
    <row r="33" spans="1:133" s="220" customFormat="1" ht="14" x14ac:dyDescent="0.15">
      <c r="A33" s="179" t="str">
        <f>'SA Apr 2018'!K19</f>
        <v>Alinta Energy</v>
      </c>
      <c r="B33" s="180" t="str">
        <f>'SA Apr 2018'!L19</f>
        <v>Business Saver</v>
      </c>
      <c r="C33" s="181">
        <f>91*'SA Apr 2018'!M19/100</f>
        <v>89.380200000000002</v>
      </c>
      <c r="D33" s="181">
        <f>IF(($C$27*$C$28)&gt;='SA Apr 2018'!P19,('SA Apr 2018'!P19*'SA Apr 2018'!N19/100),(('SA Bills April 2018'!$C$27*'SA Bills April 2018'!$C$28)*'SA Apr 2018'!N19/100))</f>
        <v>1108.25</v>
      </c>
      <c r="E33" s="181">
        <v>0</v>
      </c>
      <c r="F33" s="182">
        <f>IF($C$27*$C$28&lt;'SA Apr 2018'!P19,(0),((('SA Bills April 2018'!$C$27*'SA Bills April 2018'!$C$28)-('SA Apr 2018'!P19))*'SA Apr 2018'!Q19/100))</f>
        <v>448.9</v>
      </c>
      <c r="G33" s="183">
        <f>IF(($C$27*$C$29)&gt;='SA Apr 2018'!AG19,('SA Apr 2018'!AG19*'SA Apr 2018'!AF19/100),(('SA Bills April 2018'!$C$27*'SA Bills April 2018'!$C$29)*'SA Apr 2018'!AF19/100))</f>
        <v>308.25</v>
      </c>
      <c r="H33" s="184">
        <f>IF($C$27*$C$29&lt;'SA Apr 2018'!AG19,(0),((('SA Bills April 2018'!$C$27*'SA Bills April 2018'!$C$29)-('SA Apr 2018'!AG19))*'SA Apr 2018'!AH19/100))</f>
        <v>0</v>
      </c>
      <c r="I33" s="185">
        <f t="shared" si="7"/>
        <v>1954.7802000000001</v>
      </c>
      <c r="J33" s="186">
        <f t="shared" ref="J33:J46" si="8">I33*4</f>
        <v>7819.1208000000006</v>
      </c>
      <c r="K33" s="187">
        <f>'SA Apr 2018'!AZ19</f>
        <v>0</v>
      </c>
      <c r="L33" s="187">
        <f>'SA Apr 2018'!BA19</f>
        <v>0</v>
      </c>
      <c r="M33" s="187">
        <f>'SA Apr 2018'!BB19</f>
        <v>0</v>
      </c>
      <c r="N33" s="187">
        <f>'SA Apr 2018'!BC19</f>
        <v>28</v>
      </c>
      <c r="O33" s="186">
        <f>J33</f>
        <v>7819.1208000000006</v>
      </c>
      <c r="P33" s="186">
        <f>O33-((I33-C33)*N33/100)*4</f>
        <v>5729.872800000001</v>
      </c>
      <c r="Q33" s="186">
        <f t="shared" ref="Q33:R46" si="9">O33*1.1</f>
        <v>8601.0328800000007</v>
      </c>
      <c r="R33" s="186">
        <f t="shared" si="9"/>
        <v>6302.8600800000013</v>
      </c>
      <c r="S33" s="218">
        <f>'SA Apr 2018'!BJ27</f>
        <v>0</v>
      </c>
      <c r="T33" s="219" t="str">
        <f>'SA Apr 2018'!BK27</f>
        <v>n</v>
      </c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</row>
    <row r="34" spans="1:133" s="225" customFormat="1" ht="14" x14ac:dyDescent="0.15">
      <c r="A34" s="179" t="str">
        <f>'SA Apr 2018'!K20</f>
        <v>Click Energy</v>
      </c>
      <c r="B34" s="180" t="str">
        <f>'SA Apr 2018'!L20</f>
        <v>Click Business</v>
      </c>
      <c r="C34" s="181">
        <f>91*'SA Apr 2018'!M20/100</f>
        <v>75.825749999999999</v>
      </c>
      <c r="D34" s="181">
        <f>($C$27*$C$28)*'SA Apr 2018'!N20/100</f>
        <v>1626.1</v>
      </c>
      <c r="E34" s="181">
        <v>0</v>
      </c>
      <c r="F34" s="182">
        <f>IF($C$27*$C$28&lt;'SA Apr 2018'!P20,(0),((('SA Bills April 2018'!$C$27*'SA Bills April 2018'!$C$28)-('SA Apr 2018'!P20))*'SA Apr 2018'!Q20/100))</f>
        <v>0</v>
      </c>
      <c r="G34" s="183">
        <f>($C$27*$C$29)*'SA Apr 2018'!AF20/100</f>
        <v>593.88</v>
      </c>
      <c r="H34" s="184">
        <v>0</v>
      </c>
      <c r="I34" s="185">
        <f t="shared" si="7"/>
        <v>2295.80575</v>
      </c>
      <c r="J34" s="186">
        <f t="shared" si="8"/>
        <v>9183.223</v>
      </c>
      <c r="K34" s="187">
        <f>'SA Apr 2018'!AZ20</f>
        <v>0</v>
      </c>
      <c r="L34" s="187">
        <f>'SA Apr 2018'!BA20</f>
        <v>0</v>
      </c>
      <c r="M34" s="187">
        <f>'SA Apr 2018'!BB20</f>
        <v>7</v>
      </c>
      <c r="N34" s="187">
        <f>'SA Apr 2018'!BC20</f>
        <v>0</v>
      </c>
      <c r="O34" s="186">
        <f>J34</f>
        <v>9183.223</v>
      </c>
      <c r="P34" s="186">
        <f>O34-(O34*M34/100)</f>
        <v>8540.3973900000001</v>
      </c>
      <c r="Q34" s="186">
        <f t="shared" si="9"/>
        <v>10101.545300000002</v>
      </c>
      <c r="R34" s="186">
        <f t="shared" si="9"/>
        <v>9394.4371290000017</v>
      </c>
      <c r="S34" s="218">
        <f>'SA Apr 2018'!BJ28</f>
        <v>0</v>
      </c>
      <c r="T34" s="219" t="str">
        <f>'SA Apr 2018'!BK28</f>
        <v>n</v>
      </c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  <c r="DW34" s="214"/>
      <c r="DX34" s="214"/>
      <c r="DY34" s="214"/>
      <c r="DZ34" s="214"/>
      <c r="EA34" s="214"/>
      <c r="EB34" s="214"/>
      <c r="EC34" s="214"/>
    </row>
    <row r="35" spans="1:133" s="220" customFormat="1" ht="14" x14ac:dyDescent="0.15">
      <c r="A35" s="179" t="str">
        <f>'SA Apr 2018'!K21</f>
        <v>Commander</v>
      </c>
      <c r="B35" s="180" t="str">
        <f>'SA Apr 2018'!L21</f>
        <v>Market offer</v>
      </c>
      <c r="C35" s="181">
        <f>91*'SA Apr 2018'!M21/100</f>
        <v>81.444999999999993</v>
      </c>
      <c r="D35" s="181">
        <f>($C$27*$C$28)*'SA Apr 2018'!N21/100</f>
        <v>1538.25</v>
      </c>
      <c r="E35" s="181">
        <v>0</v>
      </c>
      <c r="F35" s="182">
        <f>IF($C$27*$C$28&lt;'SA Apr 2018'!P21,(0),((('SA Bills April 2018'!$C$27*'SA Bills April 2018'!$C$28)-('SA Apr 2018'!P21))*'SA Apr 2018'!Q21/100))</f>
        <v>0</v>
      </c>
      <c r="G35" s="183">
        <f>($C$27*$C$29)*'SA Apr 2018'!AF21/100</f>
        <v>355.5</v>
      </c>
      <c r="H35" s="184">
        <v>0</v>
      </c>
      <c r="I35" s="185">
        <f t="shared" si="7"/>
        <v>1975.1949999999999</v>
      </c>
      <c r="J35" s="186">
        <f t="shared" si="8"/>
        <v>7900.78</v>
      </c>
      <c r="K35" s="187">
        <f>'SA Apr 2018'!AZ21</f>
        <v>0</v>
      </c>
      <c r="L35" s="187">
        <f>'SA Apr 2018'!BA21</f>
        <v>0</v>
      </c>
      <c r="M35" s="187">
        <f>'SA Apr 2018'!BB21</f>
        <v>0</v>
      </c>
      <c r="N35" s="187">
        <f>'SA Apr 2018'!BC21</f>
        <v>20</v>
      </c>
      <c r="O35" s="186">
        <f>J35</f>
        <v>7900.78</v>
      </c>
      <c r="P35" s="186">
        <f>O35-((I35-C35)*N35/100)*4</f>
        <v>6385.78</v>
      </c>
      <c r="Q35" s="186">
        <f t="shared" si="9"/>
        <v>8690.8580000000002</v>
      </c>
      <c r="R35" s="186">
        <f t="shared" si="9"/>
        <v>7024.3580000000002</v>
      </c>
      <c r="S35" s="218">
        <f>'SA Apr 2018'!BJ29</f>
        <v>24</v>
      </c>
      <c r="T35" s="219" t="str">
        <f>'SA Apr 2018'!BK29</f>
        <v>y</v>
      </c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</row>
    <row r="36" spans="1:133" s="225" customFormat="1" ht="14" x14ac:dyDescent="0.15">
      <c r="A36" s="179" t="str">
        <f>'SA Apr 2018'!K22</f>
        <v>Diamond Energy</v>
      </c>
      <c r="B36" s="180" t="str">
        <f>'SA Apr 2018'!L22</f>
        <v>Pay on time discount</v>
      </c>
      <c r="C36" s="181">
        <f>91*'SA Apr 2018'!M22/100</f>
        <v>90.545000000000002</v>
      </c>
      <c r="D36" s="181">
        <f>IF($C$27*$C$28&gt;='SA Apr 2018'!P22,('SA Apr 2018'!P22*'SA Apr 2018'!N22/100),($C$27*$C$28*'SA Apr 2018'!N22/100))</f>
        <v>389</v>
      </c>
      <c r="E36" s="181">
        <f>IF($C$27*$C$28&lt;'SA Apr 2018'!P22,0,IF(($C$27*$C$28-'SA Apr 2018'!P22)&lt;='SA Apr 2018'!R22,(( $C$27*$C$28-'SA Apr 2018'!P22)*'SA Apr 2018'!Q22/100),((('SA Apr 2018'!R22+'SA Apr 2018'!P22)-('SA Apr 2018'!P22))*'SA Apr 2018'!Q22/100)))</f>
        <v>599.25000000000011</v>
      </c>
      <c r="F36" s="182">
        <f>IF($C$27*$C$28&lt;'SA Apr 2018'!R22+'SA Apr 2018'!P22,(0),((('SA Bills April 2018'!$C$27*'SA Bills April 2018'!$C$28)-('SA Apr 2018'!R22+'SA Apr 2018'!P22))*'SA Apr 2018'!S22/100))</f>
        <v>409.8</v>
      </c>
      <c r="G36" s="183">
        <f>($C$27*$C$29)*'SA Apr 2018'!AF22/100</f>
        <v>299.25</v>
      </c>
      <c r="H36" s="184">
        <v>0</v>
      </c>
      <c r="I36" s="185">
        <f t="shared" si="7"/>
        <v>1787.845</v>
      </c>
      <c r="J36" s="186">
        <f t="shared" si="8"/>
        <v>7151.38</v>
      </c>
      <c r="K36" s="187">
        <f>'SA Apr 2018'!AZ22</f>
        <v>0</v>
      </c>
      <c r="L36" s="187">
        <f>'SA Apr 2018'!BA22</f>
        <v>0</v>
      </c>
      <c r="M36" s="187">
        <f>'SA Apr 2018'!BB22</f>
        <v>7</v>
      </c>
      <c r="N36" s="187">
        <f>'SA Apr 2018'!BC22</f>
        <v>0</v>
      </c>
      <c r="O36" s="186">
        <f>J36</f>
        <v>7151.38</v>
      </c>
      <c r="P36" s="186">
        <f>O36-(O36*M36/100)</f>
        <v>6650.7834000000003</v>
      </c>
      <c r="Q36" s="186">
        <f t="shared" si="9"/>
        <v>7866.5180000000009</v>
      </c>
      <c r="R36" s="186">
        <f t="shared" si="9"/>
        <v>7315.8617400000012</v>
      </c>
      <c r="S36" s="218">
        <f>'SA Apr 2018'!BJ33</f>
        <v>0</v>
      </c>
      <c r="T36" s="219" t="str">
        <f>'SA Apr 2018'!BK33</f>
        <v>n</v>
      </c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</row>
    <row r="37" spans="1:133" s="220" customFormat="1" ht="14" x14ac:dyDescent="0.15">
      <c r="A37" s="179" t="str">
        <f>'SA Apr 2018'!K23</f>
        <v>EnergyAustralia</v>
      </c>
      <c r="B37" s="180" t="str">
        <f>'SA Apr 2018'!L23</f>
        <v>Everyday Saver Business</v>
      </c>
      <c r="C37" s="181">
        <f>91*'SA Apr 2018'!M23/100</f>
        <v>81.536000000000001</v>
      </c>
      <c r="D37" s="181">
        <f>($C$27*$C$28)*'SA Apr 2018'!N23/100</f>
        <v>1617</v>
      </c>
      <c r="E37" s="181">
        <v>0</v>
      </c>
      <c r="F37" s="182">
        <f>IF($C$27*$C$28&lt;'SA Apr 2018'!P23,(0),((('SA Bills April 2018'!$C$27*'SA Bills April 2018'!$C$28)-('SA Apr 2018'!P23))*'SA Apr 2018'!Q23/100))</f>
        <v>0</v>
      </c>
      <c r="G37" s="183">
        <f>($C$27*$C$29)*'SA Apr 2018'!AF23/100</f>
        <v>253.65</v>
      </c>
      <c r="H37" s="184">
        <v>0</v>
      </c>
      <c r="I37" s="185">
        <f t="shared" si="7"/>
        <v>1952.1860000000001</v>
      </c>
      <c r="J37" s="186">
        <f t="shared" si="8"/>
        <v>7808.7440000000006</v>
      </c>
      <c r="K37" s="187">
        <f>'SA Apr 2018'!AZ23</f>
        <v>0</v>
      </c>
      <c r="L37" s="187">
        <f>'SA Apr 2018'!BA23</f>
        <v>16</v>
      </c>
      <c r="M37" s="187">
        <f>'SA Apr 2018'!BB23</f>
        <v>0</v>
      </c>
      <c r="N37" s="187">
        <f>'SA Apr 2018'!BC23</f>
        <v>0</v>
      </c>
      <c r="O37" s="186">
        <f>J37-((I37-C37)*L37/100)*4</f>
        <v>6611.5280000000002</v>
      </c>
      <c r="P37" s="186">
        <f>O37</f>
        <v>6611.5280000000002</v>
      </c>
      <c r="Q37" s="186">
        <f t="shared" si="9"/>
        <v>7272.680800000001</v>
      </c>
      <c r="R37" s="186">
        <f t="shared" si="9"/>
        <v>7272.680800000001</v>
      </c>
      <c r="S37" s="218">
        <f>'SA Apr 2018'!BJ34</f>
        <v>0</v>
      </c>
      <c r="T37" s="219" t="str">
        <f>'SA Apr 2018'!BK34</f>
        <v>n</v>
      </c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</row>
    <row r="38" spans="1:133" s="225" customFormat="1" ht="14" x14ac:dyDescent="0.15">
      <c r="A38" s="179" t="str">
        <f>'SA Apr 2018'!K24</f>
        <v>ERM Power</v>
      </c>
      <c r="B38" s="180" t="str">
        <f>'SA Apr 2018'!L24</f>
        <v>Adjustable</v>
      </c>
      <c r="C38" s="181">
        <f>91*'SA Apr 2018'!M24/100</f>
        <v>100.1</v>
      </c>
      <c r="D38" s="181">
        <f>($C$27*$C$28)*'SA Apr 2018'!N24/100</f>
        <v>1523.2</v>
      </c>
      <c r="E38" s="181">
        <v>0</v>
      </c>
      <c r="F38" s="182">
        <v>0</v>
      </c>
      <c r="G38" s="183">
        <f>($C$27*$C$29)*'SA Apr 2018'!AF24/100</f>
        <v>391.95</v>
      </c>
      <c r="H38" s="184">
        <v>0</v>
      </c>
      <c r="I38" s="185">
        <f t="shared" si="7"/>
        <v>2015.25</v>
      </c>
      <c r="J38" s="186">
        <f t="shared" si="8"/>
        <v>8061</v>
      </c>
      <c r="K38" s="187">
        <f>'SA Apr 2018'!AZ24</f>
        <v>0</v>
      </c>
      <c r="L38" s="187">
        <f>'SA Apr 2018'!BA24</f>
        <v>0</v>
      </c>
      <c r="M38" s="187">
        <f>'SA Apr 2018'!BB24</f>
        <v>0</v>
      </c>
      <c r="N38" s="187">
        <f>'SA Apr 2018'!BC24</f>
        <v>0</v>
      </c>
      <c r="O38" s="186">
        <f>J38</f>
        <v>8061</v>
      </c>
      <c r="P38" s="186">
        <f>O38</f>
        <v>8061</v>
      </c>
      <c r="Q38" s="186">
        <f t="shared" si="9"/>
        <v>8867.1</v>
      </c>
      <c r="R38" s="186">
        <f t="shared" si="9"/>
        <v>8867.1</v>
      </c>
      <c r="S38" s="218">
        <f>'SA Apr 2018'!BJ35</f>
        <v>0</v>
      </c>
      <c r="T38" s="219" t="str">
        <f>'SA Apr 2018'!BK35</f>
        <v>n</v>
      </c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</row>
    <row r="39" spans="1:133" s="220" customFormat="1" ht="14" x14ac:dyDescent="0.15">
      <c r="A39" s="179" t="str">
        <f>'SA Apr 2018'!K25</f>
        <v>Momentum Energy</v>
      </c>
      <c r="B39" s="180" t="str">
        <f>'SA Apr 2018'!L25</f>
        <v>SmilePower</v>
      </c>
      <c r="C39" s="181">
        <f>91*'SA Apr 2018'!M25/100</f>
        <v>80.753399999999999</v>
      </c>
      <c r="D39" s="181">
        <f>IF(($C$27*$C$28)&gt;='SA Apr 2018'!P25,('SA Apr 2018'!P25*'SA Apr 2018'!N25/100),(('SA Bills April 2018'!$C$27*'SA Bills April 2018'!$C$28)*'SA Apr 2018'!N25/100))</f>
        <v>503.16</v>
      </c>
      <c r="E39" s="181">
        <v>0</v>
      </c>
      <c r="F39" s="182">
        <f>IF($C$27*$C$28&lt;'SA Apr 2018'!P25,(0),((('SA Bills April 2018'!$C$27*'SA Bills April 2018'!$C$28)-('SA Apr 2018'!P25))*'SA Apr 2018'!Q25/100))</f>
        <v>945.07000000000016</v>
      </c>
      <c r="G39" s="183">
        <f>($C$27*$C$29)*'SA Apr 2018'!AF25/100</f>
        <v>321.75</v>
      </c>
      <c r="H39" s="184">
        <v>0</v>
      </c>
      <c r="I39" s="185">
        <f t="shared" si="7"/>
        <v>1850.7334000000001</v>
      </c>
      <c r="J39" s="186">
        <f t="shared" si="8"/>
        <v>7402.9336000000003</v>
      </c>
      <c r="K39" s="187">
        <f>'SA Apr 2018'!AZ25</f>
        <v>0</v>
      </c>
      <c r="L39" s="187">
        <f>'SA Apr 2018'!BA25</f>
        <v>0</v>
      </c>
      <c r="M39" s="187">
        <f>'SA Apr 2018'!BB25</f>
        <v>0</v>
      </c>
      <c r="N39" s="187">
        <f>'SA Apr 2018'!BC25</f>
        <v>0</v>
      </c>
      <c r="O39" s="186">
        <f t="shared" ref="O39" si="10">J39</f>
        <v>7402.9336000000003</v>
      </c>
      <c r="P39" s="186">
        <f t="shared" ref="P39" si="11">O39</f>
        <v>7402.9336000000003</v>
      </c>
      <c r="Q39" s="186">
        <f t="shared" si="9"/>
        <v>8143.2269600000009</v>
      </c>
      <c r="R39" s="186">
        <f t="shared" si="9"/>
        <v>8143.2269600000009</v>
      </c>
      <c r="S39" s="218">
        <v>36</v>
      </c>
      <c r="T39" s="219" t="s">
        <v>174</v>
      </c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</row>
    <row r="40" spans="1:133" s="225" customFormat="1" ht="14" x14ac:dyDescent="0.15">
      <c r="A40" s="179" t="str">
        <f>'SA Apr 2018'!K26</f>
        <v>Origin Energy</v>
      </c>
      <c r="B40" s="180" t="str">
        <f>'SA Apr 2018'!L26</f>
        <v>Business Saver</v>
      </c>
      <c r="C40" s="181">
        <f>91*'SA Apr 2018'!M26/100</f>
        <v>82.764500000000012</v>
      </c>
      <c r="D40" s="181">
        <f>($C$27*$C$28)*'SA Apr 2018'!N26/100</f>
        <v>1411.55</v>
      </c>
      <c r="E40" s="181">
        <v>0</v>
      </c>
      <c r="F40" s="182">
        <f>IF($C$27*$C$28&lt;'SA Apr 2018'!P26,(0),((('SA Bills April 2018'!$C$27*'SA Bills April 2018'!$C$28)-('SA Apr 2018'!P26))*'SA Apr 2018'!Q26/100))</f>
        <v>0</v>
      </c>
      <c r="G40" s="183">
        <f>($C$27*$C$29)*'SA Apr 2018'!AF26/100</f>
        <v>288.75</v>
      </c>
      <c r="H40" s="184">
        <v>0</v>
      </c>
      <c r="I40" s="185">
        <f t="shared" si="7"/>
        <v>1783.0645</v>
      </c>
      <c r="J40" s="186">
        <f t="shared" si="8"/>
        <v>7132.2579999999998</v>
      </c>
      <c r="K40" s="187">
        <f>'SA Apr 2018'!AZ26</f>
        <v>0</v>
      </c>
      <c r="L40" s="187">
        <f>'SA Apr 2018'!BA26</f>
        <v>16</v>
      </c>
      <c r="M40" s="187">
        <f>'SA Apr 2018'!BB26</f>
        <v>0</v>
      </c>
      <c r="N40" s="187">
        <f>'SA Apr 2018'!BC26</f>
        <v>0</v>
      </c>
      <c r="O40" s="186">
        <f>J40-((I40-C40)*L40/100)*4</f>
        <v>6044.0659999999998</v>
      </c>
      <c r="P40" s="186">
        <f>O40</f>
        <v>6044.0659999999998</v>
      </c>
      <c r="Q40" s="186">
        <f t="shared" si="9"/>
        <v>6648.4726000000001</v>
      </c>
      <c r="R40" s="186">
        <f t="shared" si="9"/>
        <v>6648.4726000000001</v>
      </c>
      <c r="S40" s="218">
        <v>12</v>
      </c>
      <c r="T40" s="219" t="s">
        <v>175</v>
      </c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</row>
    <row r="41" spans="1:133" s="220" customFormat="1" ht="14" x14ac:dyDescent="0.15">
      <c r="A41" s="179" t="str">
        <f>'SA Apr 2018'!K27</f>
        <v>Powerdirect</v>
      </c>
      <c r="B41" s="180" t="str">
        <f>'SA Apr 2018'!L27</f>
        <v>Quarterly read</v>
      </c>
      <c r="C41" s="181">
        <f>91*'SA Apr 2018'!M27/100</f>
        <v>82.81</v>
      </c>
      <c r="D41" s="181">
        <f>($C$27*$C$28)*'SA Apr 2018'!N27/100</f>
        <v>1264.1999999999998</v>
      </c>
      <c r="E41" s="181">
        <v>0</v>
      </c>
      <c r="F41" s="182">
        <f>IF($C$27*$C$28&lt;'SA Apr 2018'!P27,(0),((('SA Bills April 2018'!$C$27*'SA Bills April 2018'!$C$28)-('SA Apr 2018'!P27))*'SA Apr 2018'!Q27/100))</f>
        <v>0</v>
      </c>
      <c r="G41" s="183">
        <f>($C$27*$C$29)*'SA Apr 2018'!AF27/100</f>
        <v>330</v>
      </c>
      <c r="H41" s="184">
        <v>0</v>
      </c>
      <c r="I41" s="185">
        <f t="shared" si="7"/>
        <v>1677.0099999999998</v>
      </c>
      <c r="J41" s="186">
        <f t="shared" si="8"/>
        <v>6708.0399999999991</v>
      </c>
      <c r="K41" s="187">
        <f>'SA Apr 2018'!AZ27</f>
        <v>0</v>
      </c>
      <c r="L41" s="187">
        <f>'SA Apr 2018'!BA27</f>
        <v>0</v>
      </c>
      <c r="M41" s="187">
        <f>'SA Apr 2018'!BB27</f>
        <v>0</v>
      </c>
      <c r="N41" s="187">
        <f>'SA Apr 2018'!BC27</f>
        <v>0</v>
      </c>
      <c r="O41" s="186">
        <f t="shared" ref="O41" si="12">J41</f>
        <v>6708.0399999999991</v>
      </c>
      <c r="P41" s="186">
        <f t="shared" ref="P41" si="13">O41</f>
        <v>6708.0399999999991</v>
      </c>
      <c r="Q41" s="186">
        <f t="shared" si="9"/>
        <v>7378.8439999999991</v>
      </c>
      <c r="R41" s="186">
        <f t="shared" si="9"/>
        <v>7378.8439999999991</v>
      </c>
      <c r="S41" s="218">
        <v>0</v>
      </c>
      <c r="T41" s="219" t="s">
        <v>174</v>
      </c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</row>
    <row r="42" spans="1:133" s="225" customFormat="1" ht="14" x14ac:dyDescent="0.15">
      <c r="A42" s="179" t="str">
        <f>'SA Apr 2018'!K28</f>
        <v>Red Energy</v>
      </c>
      <c r="B42" s="180" t="str">
        <f>'SA Apr 2018'!L28</f>
        <v>No exit fee saver</v>
      </c>
      <c r="C42" s="181">
        <f>91*'SA Apr 2018'!M28/100</f>
        <v>93.275000000000006</v>
      </c>
      <c r="D42" s="181">
        <f>IF(($C$27*$C$28)&gt;='SA Apr 2018'!P28,('SA Apr 2018'!P28*'SA Apr 2018'!N28/100),(('SA Bills April 2018'!$C$27*'SA Bills April 2018'!$C$28)*'SA Apr 2018'!N28/100))</f>
        <v>1020</v>
      </c>
      <c r="E42" s="181">
        <v>0</v>
      </c>
      <c r="F42" s="182">
        <f>IF($C$27*$C$28&lt;'SA Apr 2018'!P28,(0),((('SA Bills April 2018'!$C$27*'SA Bills April 2018'!$C$28)-('SA Apr 2018'!P28))*'SA Apr 2018'!Q28/100))</f>
        <v>428.3</v>
      </c>
      <c r="G42" s="183">
        <f>($C$27*$C$29)*'SA Apr 2018'!AF28/100</f>
        <v>300</v>
      </c>
      <c r="H42" s="184">
        <v>0</v>
      </c>
      <c r="I42" s="185">
        <f t="shared" si="7"/>
        <v>1841.575</v>
      </c>
      <c r="J42" s="186">
        <f t="shared" si="8"/>
        <v>7366.3</v>
      </c>
      <c r="K42" s="187">
        <f>'SA Apr 2018'!AZ28</f>
        <v>0</v>
      </c>
      <c r="L42" s="187">
        <f>'SA Apr 2018'!BA28</f>
        <v>0</v>
      </c>
      <c r="M42" s="187">
        <f>'SA Apr 2018'!BB28</f>
        <v>10</v>
      </c>
      <c r="N42" s="187">
        <f>'SA Apr 2018'!BC28</f>
        <v>0</v>
      </c>
      <c r="O42" s="186">
        <f>J42</f>
        <v>7366.3</v>
      </c>
      <c r="P42" s="186">
        <f>O42-(O42*M42/100)</f>
        <v>6629.67</v>
      </c>
      <c r="Q42" s="186">
        <f t="shared" si="9"/>
        <v>8102.9300000000012</v>
      </c>
      <c r="R42" s="186">
        <f t="shared" si="9"/>
        <v>7292.6370000000006</v>
      </c>
      <c r="S42" s="218">
        <v>0</v>
      </c>
      <c r="T42" s="219" t="s">
        <v>174</v>
      </c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</row>
    <row r="43" spans="1:133" s="220" customFormat="1" ht="14" x14ac:dyDescent="0.15">
      <c r="A43" s="179" t="str">
        <f>'SA Apr 2018'!K29</f>
        <v>Simply Energy</v>
      </c>
      <c r="B43" s="180" t="str">
        <f>'SA Apr 2018'!L29</f>
        <v>Business Plus Online</v>
      </c>
      <c r="C43" s="181">
        <f>91*'SA Apr 2018'!M29/100</f>
        <v>90.626900000000006</v>
      </c>
      <c r="D43" s="181">
        <f>($C$27*$C$28)*'SA Apr 2018'!N29/100</f>
        <v>1430.45</v>
      </c>
      <c r="E43" s="181">
        <v>0</v>
      </c>
      <c r="F43" s="182">
        <f>IF($C$27*$C$28&lt;'SA Apr 2018'!P29,(0),((('SA Bills April 2018'!$C$27*'SA Bills April 2018'!$C$28)-('SA Apr 2018'!P29))*'SA Apr 2018'!Q29/100))</f>
        <v>0</v>
      </c>
      <c r="G43" s="183">
        <f>($C$27*$C$29)*'SA Apr 2018'!AF29/100</f>
        <v>415.35</v>
      </c>
      <c r="H43" s="184">
        <v>0</v>
      </c>
      <c r="I43" s="185">
        <f t="shared" si="7"/>
        <v>1936.4268999999999</v>
      </c>
      <c r="J43" s="186">
        <f t="shared" si="8"/>
        <v>7745.7075999999997</v>
      </c>
      <c r="K43" s="187">
        <f>'SA Apr 2018'!AZ29</f>
        <v>0</v>
      </c>
      <c r="L43" s="187">
        <f>'SA Apr 2018'!BA29</f>
        <v>15</v>
      </c>
      <c r="M43" s="187">
        <f>'SA Apr 2018'!BB29</f>
        <v>0</v>
      </c>
      <c r="N43" s="187">
        <f>'SA Apr 2018'!BC29</f>
        <v>0</v>
      </c>
      <c r="O43" s="186">
        <f>J43-((I43-C43)*L43/100)*4</f>
        <v>6638.2276000000002</v>
      </c>
      <c r="P43" s="186">
        <f>O43</f>
        <v>6638.2276000000002</v>
      </c>
      <c r="Q43" s="186">
        <f t="shared" si="9"/>
        <v>7302.0503600000011</v>
      </c>
      <c r="R43" s="186">
        <f t="shared" si="9"/>
        <v>7302.0503600000011</v>
      </c>
      <c r="S43" s="218">
        <v>24</v>
      </c>
      <c r="T43" s="219" t="s">
        <v>175</v>
      </c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</row>
    <row r="44" spans="1:133" s="225" customFormat="1" ht="14" x14ac:dyDescent="0.15">
      <c r="A44" s="179" t="str">
        <f>'SA Apr 2018'!K30</f>
        <v>Blue NRG</v>
      </c>
      <c r="B44" s="180" t="str">
        <f>'SA Apr 2018'!L30</f>
        <v>Super Saver</v>
      </c>
      <c r="C44" s="181">
        <f>91*'SA Apr 2018'!M30/100</f>
        <v>91</v>
      </c>
      <c r="D44" s="181">
        <f>($C$27*$C$28)*'SA Apr 2018'!N30/100</f>
        <v>1400</v>
      </c>
      <c r="E44" s="181">
        <v>0</v>
      </c>
      <c r="F44" s="182">
        <f>IF($C$27*$C$28&lt;'SA Apr 2018'!P30,(0),((('SA Bills April 2018'!$C$27*'SA Bills April 2018'!$C$28)-('SA Apr 2018'!P30))*'SA Apr 2018'!Q30/100))</f>
        <v>0</v>
      </c>
      <c r="G44" s="183">
        <f>($C$27*$C$29)*'SA Apr 2018'!AF30/100</f>
        <v>390</v>
      </c>
      <c r="H44" s="184">
        <v>0</v>
      </c>
      <c r="I44" s="185">
        <f t="shared" si="7"/>
        <v>1881</v>
      </c>
      <c r="J44" s="186">
        <f t="shared" si="8"/>
        <v>7524</v>
      </c>
      <c r="K44" s="187">
        <f>'SA Apr 2018'!AZ30</f>
        <v>0</v>
      </c>
      <c r="L44" s="187">
        <f>'SA Apr 2018'!BA30</f>
        <v>0</v>
      </c>
      <c r="M44" s="187">
        <f>'SA Apr 2018'!BB30</f>
        <v>0</v>
      </c>
      <c r="N44" s="187">
        <f>'SA Apr 2018'!BC30</f>
        <v>0</v>
      </c>
      <c r="O44" s="186">
        <f>J44</f>
        <v>7524</v>
      </c>
      <c r="P44" s="186">
        <f t="shared" ref="P44:P45" si="14">O44</f>
        <v>7524</v>
      </c>
      <c r="Q44" s="186">
        <f t="shared" si="9"/>
        <v>8276.4000000000015</v>
      </c>
      <c r="R44" s="186">
        <f t="shared" si="9"/>
        <v>8276.4000000000015</v>
      </c>
      <c r="S44" s="218">
        <v>25</v>
      </c>
      <c r="T44" s="219" t="s">
        <v>175</v>
      </c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</row>
    <row r="45" spans="1:133" s="220" customFormat="1" ht="14" x14ac:dyDescent="0.15">
      <c r="A45" s="179" t="str">
        <f>'SA Apr 2018'!K31</f>
        <v>Q Energy</v>
      </c>
      <c r="B45" s="180" t="str">
        <f>'SA Apr 2018'!L31</f>
        <v>Market Rate</v>
      </c>
      <c r="C45" s="181">
        <f>91*'SA Apr 2018'!M31/100</f>
        <v>99.877960000000002</v>
      </c>
      <c r="D45" s="181">
        <f>($C$27*$C$28)*'SA Apr 2018'!N31/100</f>
        <v>1365.84</v>
      </c>
      <c r="E45" s="181">
        <v>0</v>
      </c>
      <c r="F45" s="182">
        <f>IF($C$27*$C$28&lt;'SA Apr 2018'!P31,(0),((('SA Bills April 2018'!$C$27*'SA Bills April 2018'!$C$28)-('SA Apr 2018'!P31))*'SA Apr 2018'!Q31/100))</f>
        <v>0</v>
      </c>
      <c r="G45" s="183">
        <f>($C$27*$C$29)*'SA Apr 2018'!AF31/100</f>
        <v>251.52</v>
      </c>
      <c r="H45" s="184">
        <v>0</v>
      </c>
      <c r="I45" s="185">
        <f t="shared" si="7"/>
        <v>1717.2379599999999</v>
      </c>
      <c r="J45" s="186">
        <f t="shared" si="8"/>
        <v>6868.9518399999997</v>
      </c>
      <c r="K45" s="187">
        <f>'SA Apr 2018'!AZ31</f>
        <v>0</v>
      </c>
      <c r="L45" s="187">
        <f>'SA Apr 2018'!BA31</f>
        <v>0</v>
      </c>
      <c r="M45" s="187">
        <f>'SA Apr 2018'!BB31</f>
        <v>0</v>
      </c>
      <c r="N45" s="187">
        <f>'SA Apr 2018'!BC31</f>
        <v>0</v>
      </c>
      <c r="O45" s="186">
        <f>J45</f>
        <v>6868.9518399999997</v>
      </c>
      <c r="P45" s="186">
        <f t="shared" si="14"/>
        <v>6868.9518399999997</v>
      </c>
      <c r="Q45" s="186">
        <f t="shared" si="9"/>
        <v>7555.8470240000006</v>
      </c>
      <c r="R45" s="186">
        <f t="shared" si="9"/>
        <v>7555.8470240000006</v>
      </c>
      <c r="S45" s="218">
        <v>26</v>
      </c>
      <c r="T45" s="219" t="s">
        <v>175</v>
      </c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</row>
    <row r="46" spans="1:133" s="225" customFormat="1" ht="15" thickBot="1" x14ac:dyDescent="0.2">
      <c r="A46" s="191" t="str">
        <f>'SA Apr 2018'!K32</f>
        <v>Amaysim</v>
      </c>
      <c r="B46" s="207" t="str">
        <f>'SA Apr 2018'!L32</f>
        <v>Business 1</v>
      </c>
      <c r="C46" s="193">
        <f>91*'SA Apr 2018'!M32/100</f>
        <v>75.075000000000003</v>
      </c>
      <c r="D46" s="193">
        <f>($C$27*$C$28)*'SA Apr 2018'!N32/100</f>
        <v>1610</v>
      </c>
      <c r="E46" s="193">
        <v>0</v>
      </c>
      <c r="F46" s="208">
        <f>IF($C$27*$C$28&lt;'SA Apr 2018'!P32,(0),((('SA Bills April 2018'!$C$27*'SA Bills April 2018'!$C$28)-('SA Apr 2018'!P32))*'SA Apr 2018'!Q32/100))</f>
        <v>0</v>
      </c>
      <c r="G46" s="194">
        <f>($C$27*$C$29)*'SA Apr 2018'!AF32/100</f>
        <v>588.00000000000011</v>
      </c>
      <c r="H46" s="209">
        <v>0</v>
      </c>
      <c r="I46" s="195">
        <f t="shared" si="7"/>
        <v>2273.0750000000003</v>
      </c>
      <c r="J46" s="196">
        <f t="shared" si="8"/>
        <v>9092.3000000000011</v>
      </c>
      <c r="K46" s="197">
        <f>'SA Apr 2018'!AZ32</f>
        <v>0</v>
      </c>
      <c r="L46" s="197">
        <f>'SA Apr 2018'!BA32</f>
        <v>0</v>
      </c>
      <c r="M46" s="197">
        <f>'SA Apr 2018'!BB32</f>
        <v>16</v>
      </c>
      <c r="N46" s="197">
        <f>'SA Apr 2018'!BC32</f>
        <v>0</v>
      </c>
      <c r="O46" s="196">
        <f>J46</f>
        <v>9092.3000000000011</v>
      </c>
      <c r="P46" s="196">
        <f>O46-(O46*M46/100)</f>
        <v>7637.5320000000011</v>
      </c>
      <c r="Q46" s="196">
        <f t="shared" si="9"/>
        <v>10001.530000000002</v>
      </c>
      <c r="R46" s="196">
        <f t="shared" si="9"/>
        <v>8401.2852000000021</v>
      </c>
      <c r="S46" s="221">
        <v>27</v>
      </c>
      <c r="T46" s="222" t="s">
        <v>175</v>
      </c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</row>
    <row r="47" spans="1:133" s="214" customFormat="1" ht="14" x14ac:dyDescent="0.15">
      <c r="A47" s="213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</row>
    <row r="48" spans="1:133" s="214" customFormat="1" ht="15" thickBot="1" x14ac:dyDescent="0.2">
      <c r="A48" s="213"/>
      <c r="B48" s="213"/>
      <c r="C48" s="213"/>
      <c r="D48" s="213"/>
      <c r="E48" s="213"/>
      <c r="F48" s="216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6"/>
      <c r="R48" s="216"/>
      <c r="S48" s="216"/>
      <c r="T48" s="216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</row>
    <row r="49" spans="1:133" ht="14" x14ac:dyDescent="0.15">
      <c r="A49" s="165" t="s">
        <v>176</v>
      </c>
      <c r="B49" s="166"/>
      <c r="C49" s="166"/>
      <c r="D49" s="166"/>
      <c r="E49" s="166"/>
      <c r="F49" s="210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8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</row>
    <row r="50" spans="1:133" ht="14" x14ac:dyDescent="0.15">
      <c r="A50" s="169" t="s">
        <v>197</v>
      </c>
      <c r="B50" s="134"/>
      <c r="C50" s="170">
        <v>5000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</row>
    <row r="51" spans="1:133" ht="14" x14ac:dyDescent="0.15">
      <c r="A51" s="169" t="s">
        <v>85</v>
      </c>
      <c r="B51" s="134"/>
      <c r="C51" s="206">
        <v>0.7</v>
      </c>
      <c r="D51" s="134"/>
      <c r="E51" s="134"/>
      <c r="F51" s="211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</row>
    <row r="52" spans="1:133" ht="14" x14ac:dyDescent="0.15">
      <c r="A52" s="169" t="s">
        <v>172</v>
      </c>
      <c r="B52" s="134"/>
      <c r="C52" s="206">
        <v>0.3</v>
      </c>
      <c r="D52" s="134"/>
      <c r="E52" s="134"/>
      <c r="F52" s="211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72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</row>
    <row r="53" spans="1:133" ht="14" x14ac:dyDescent="0.15">
      <c r="A53" s="169"/>
      <c r="B53" s="134"/>
      <c r="C53" s="134"/>
      <c r="D53" s="134"/>
      <c r="E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72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</row>
    <row r="54" spans="1:133" ht="75" x14ac:dyDescent="0.15">
      <c r="A54" s="230" t="s">
        <v>216</v>
      </c>
      <c r="B54" s="232" t="s">
        <v>198</v>
      </c>
      <c r="C54" s="173" t="s">
        <v>199</v>
      </c>
      <c r="D54" s="173" t="s">
        <v>200</v>
      </c>
      <c r="E54" s="173" t="s">
        <v>201</v>
      </c>
      <c r="F54" s="173" t="s">
        <v>202</v>
      </c>
      <c r="G54" s="173" t="s">
        <v>164</v>
      </c>
      <c r="H54" s="173" t="s">
        <v>173</v>
      </c>
      <c r="I54" s="173" t="s">
        <v>165</v>
      </c>
      <c r="J54" s="174" t="s">
        <v>166</v>
      </c>
      <c r="K54" s="175" t="s">
        <v>167</v>
      </c>
      <c r="L54" s="175" t="s">
        <v>168</v>
      </c>
      <c r="M54" s="175" t="s">
        <v>169</v>
      </c>
      <c r="N54" s="175" t="s">
        <v>170</v>
      </c>
      <c r="O54" s="176" t="s">
        <v>579</v>
      </c>
      <c r="P54" s="176" t="s">
        <v>580</v>
      </c>
      <c r="Q54" s="176" t="s">
        <v>227</v>
      </c>
      <c r="R54" s="176" t="s">
        <v>272</v>
      </c>
      <c r="S54" s="175" t="s">
        <v>82</v>
      </c>
      <c r="T54" s="177" t="s">
        <v>83</v>
      </c>
      <c r="U54" s="217"/>
      <c r="V54" s="217"/>
      <c r="W54" s="217"/>
      <c r="X54" s="217"/>
      <c r="Y54" s="217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</row>
    <row r="55" spans="1:133" ht="14" x14ac:dyDescent="0.15">
      <c r="A55" s="179" t="str">
        <f>'SA Apr 2018'!K33</f>
        <v>AGL</v>
      </c>
      <c r="B55" s="180" t="str">
        <f>'SA Apr 2018'!L33</f>
        <v xml:space="preserve">Business Savers </v>
      </c>
      <c r="C55" s="181">
        <f>91*'SA Apr 2018'!M33/100</f>
        <v>82.81</v>
      </c>
      <c r="D55" s="181">
        <f>($C$50*$C$51)*'SA Apr 2018'!N33/100</f>
        <v>1505</v>
      </c>
      <c r="E55" s="181">
        <v>0</v>
      </c>
      <c r="F55" s="182">
        <v>0</v>
      </c>
      <c r="G55" s="183">
        <v>0</v>
      </c>
      <c r="H55" s="184">
        <f>($C$50*$C$52)*'SA Apr 2018'!W33/100</f>
        <v>420</v>
      </c>
      <c r="I55" s="185">
        <f>SUM(C55:H55)</f>
        <v>2007.81</v>
      </c>
      <c r="J55" s="186">
        <f>I55*4</f>
        <v>8031.24</v>
      </c>
      <c r="K55" s="187">
        <f>'SA Apr 2018'!AZ33</f>
        <v>0</v>
      </c>
      <c r="L55" s="187">
        <f>'SA Apr 2018'!BA33</f>
        <v>16</v>
      </c>
      <c r="M55" s="187">
        <f>'SA Apr 2018'!BB33</f>
        <v>0</v>
      </c>
      <c r="N55" s="187">
        <f>'SA Apr 2018'!BC33</f>
        <v>0</v>
      </c>
      <c r="O55" s="186">
        <f>J55-((I55-C55)*L55/100)*4</f>
        <v>6799.24</v>
      </c>
      <c r="P55" s="186">
        <f>O55</f>
        <v>6799.24</v>
      </c>
      <c r="Q55" s="186">
        <f>O55*1.1</f>
        <v>7479.1640000000007</v>
      </c>
      <c r="R55" s="186">
        <f>P55*1.1</f>
        <v>7479.1640000000007</v>
      </c>
      <c r="S55" s="218">
        <f>'SA Apr 2018'!BJ33</f>
        <v>0</v>
      </c>
      <c r="T55" s="219" t="str">
        <f>'SA Apr 2018'!BK33</f>
        <v>n</v>
      </c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</row>
    <row r="56" spans="1:133" s="220" customFormat="1" ht="14" x14ac:dyDescent="0.15">
      <c r="A56" s="179" t="str">
        <f>'SA Apr 2018'!K34</f>
        <v>Alinta Energy</v>
      </c>
      <c r="B56" s="180" t="str">
        <f>'SA Apr 2018'!L34</f>
        <v>Business Saver</v>
      </c>
      <c r="C56" s="181">
        <f>91*'SA Apr 2018'!M34/100</f>
        <v>94.093999999999994</v>
      </c>
      <c r="D56" s="181">
        <f>($C$50*$C$51)*'SA Apr 2018'!N34/100</f>
        <v>1779.05</v>
      </c>
      <c r="E56" s="181">
        <v>0</v>
      </c>
      <c r="F56" s="182">
        <v>0</v>
      </c>
      <c r="G56" s="183">
        <v>0</v>
      </c>
      <c r="H56" s="184">
        <f>($C$50*$C$52)*'SA Apr 2018'!W34/100</f>
        <v>448.35</v>
      </c>
      <c r="I56" s="185">
        <f t="shared" ref="I56:I70" si="15">SUM(C56:H56)</f>
        <v>2321.4940000000001</v>
      </c>
      <c r="J56" s="186">
        <f t="shared" ref="J56:J70" si="16">I56*4</f>
        <v>9285.9760000000006</v>
      </c>
      <c r="K56" s="187">
        <f>'SA Apr 2018'!AZ34</f>
        <v>0</v>
      </c>
      <c r="L56" s="187">
        <f>'SA Apr 2018'!BA34</f>
        <v>0</v>
      </c>
      <c r="M56" s="187">
        <f>'SA Apr 2018'!BB34</f>
        <v>0</v>
      </c>
      <c r="N56" s="187">
        <f>'SA Apr 2018'!BC34</f>
        <v>28</v>
      </c>
      <c r="O56" s="186">
        <f>J56</f>
        <v>9285.9760000000006</v>
      </c>
      <c r="P56" s="186">
        <f>O56-((I56-C56)*N56/100)*4</f>
        <v>6791.2880000000005</v>
      </c>
      <c r="Q56" s="186">
        <f t="shared" ref="Q56:R70" si="17">O56*1.1</f>
        <v>10214.573600000002</v>
      </c>
      <c r="R56" s="186">
        <f t="shared" si="17"/>
        <v>7470.4168000000009</v>
      </c>
      <c r="S56" s="218">
        <f>'SA Apr 2018'!BJ34</f>
        <v>0</v>
      </c>
      <c r="T56" s="219" t="str">
        <f>'SA Apr 2018'!BK34</f>
        <v>n</v>
      </c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</row>
    <row r="57" spans="1:133" ht="14" x14ac:dyDescent="0.15">
      <c r="A57" s="179" t="str">
        <f>'SA Apr 2018'!K35</f>
        <v>Click Energy</v>
      </c>
      <c r="B57" s="180" t="str">
        <f>'SA Apr 2018'!L35</f>
        <v>Click Business</v>
      </c>
      <c r="C57" s="181">
        <f>91*'SA Apr 2018'!M35/100</f>
        <v>75.825749999999999</v>
      </c>
      <c r="D57" s="181">
        <f>($C$50*$C$51)*'SA Apr 2018'!N35/100</f>
        <v>1693.2650000000001</v>
      </c>
      <c r="E57" s="181">
        <v>0</v>
      </c>
      <c r="F57" s="182">
        <v>0</v>
      </c>
      <c r="G57" s="183">
        <v>0</v>
      </c>
      <c r="H57" s="184">
        <f>($C$50*$C$52)*'SA Apr 2018'!W35/100</f>
        <v>601.45500000000004</v>
      </c>
      <c r="I57" s="185">
        <f t="shared" si="15"/>
        <v>2370.5457500000002</v>
      </c>
      <c r="J57" s="186">
        <f t="shared" si="16"/>
        <v>9482.1830000000009</v>
      </c>
      <c r="K57" s="187">
        <f>'SA Apr 2018'!AZ35</f>
        <v>0</v>
      </c>
      <c r="L57" s="187">
        <f>'SA Apr 2018'!BA35</f>
        <v>0</v>
      </c>
      <c r="M57" s="187">
        <f>'SA Apr 2018'!BB35</f>
        <v>7</v>
      </c>
      <c r="N57" s="187">
        <f>'SA Apr 2018'!BC35</f>
        <v>0</v>
      </c>
      <c r="O57" s="186">
        <f>J57</f>
        <v>9482.1830000000009</v>
      </c>
      <c r="P57" s="186">
        <f>O57-(O57*M57/100)</f>
        <v>8818.4301900000009</v>
      </c>
      <c r="Q57" s="186">
        <f t="shared" si="17"/>
        <v>10430.401300000001</v>
      </c>
      <c r="R57" s="186">
        <f t="shared" si="17"/>
        <v>9700.2732090000027</v>
      </c>
      <c r="S57" s="218">
        <f>'SA Apr 2018'!BJ35</f>
        <v>0</v>
      </c>
      <c r="T57" s="219" t="str">
        <f>'SA Apr 2018'!BK35</f>
        <v>n</v>
      </c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</row>
    <row r="58" spans="1:133" s="220" customFormat="1" ht="14" x14ac:dyDescent="0.15">
      <c r="A58" s="179" t="str">
        <f>'SA Apr 2018'!K36</f>
        <v>Commander</v>
      </c>
      <c r="B58" s="180" t="str">
        <f>'SA Apr 2018'!L36</f>
        <v>Market offer</v>
      </c>
      <c r="C58" s="181">
        <f>91*'SA Apr 2018'!M36/100</f>
        <v>81.444999999999993</v>
      </c>
      <c r="D58" s="181">
        <f>($C$50*$C$51)*'SA Apr 2018'!N36/100</f>
        <v>1704.5</v>
      </c>
      <c r="E58" s="181">
        <v>0</v>
      </c>
      <c r="F58" s="182">
        <v>0</v>
      </c>
      <c r="G58" s="183">
        <v>0</v>
      </c>
      <c r="H58" s="184">
        <f>($C$50*$C$52)*'SA Apr 2018'!W36/100</f>
        <v>464.25</v>
      </c>
      <c r="I58" s="185">
        <f t="shared" si="15"/>
        <v>2250.1949999999997</v>
      </c>
      <c r="J58" s="186">
        <f t="shared" si="16"/>
        <v>9000.7799999999988</v>
      </c>
      <c r="K58" s="187">
        <f>'SA Apr 2018'!AZ36</f>
        <v>0</v>
      </c>
      <c r="L58" s="187">
        <f>'SA Apr 2018'!BA36</f>
        <v>0</v>
      </c>
      <c r="M58" s="187">
        <f>'SA Apr 2018'!BB36</f>
        <v>0</v>
      </c>
      <c r="N58" s="187">
        <f>'SA Apr 2018'!BC36</f>
        <v>20</v>
      </c>
      <c r="O58" s="186">
        <f>J58</f>
        <v>9000.7799999999988</v>
      </c>
      <c r="P58" s="186">
        <f>O58-((I58-C58)*N58/100)*4</f>
        <v>7265.7799999999988</v>
      </c>
      <c r="Q58" s="186">
        <f t="shared" si="17"/>
        <v>9900.8580000000002</v>
      </c>
      <c r="R58" s="186">
        <f t="shared" si="17"/>
        <v>7992.3579999999993</v>
      </c>
      <c r="S58" s="218">
        <f>'SA Apr 2018'!BJ36</f>
        <v>0</v>
      </c>
      <c r="T58" s="219" t="str">
        <f>'SA Apr 2018'!BK36</f>
        <v>n</v>
      </c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4"/>
      <c r="DF58" s="214"/>
      <c r="DG58" s="214"/>
      <c r="DH58" s="214"/>
      <c r="DI58" s="214"/>
      <c r="DJ58" s="214"/>
      <c r="DK58" s="214"/>
      <c r="DL58" s="214"/>
      <c r="DM58" s="214"/>
      <c r="DN58" s="214"/>
      <c r="DO58" s="214"/>
      <c r="DP58" s="214"/>
      <c r="DQ58" s="214"/>
      <c r="DR58" s="214"/>
      <c r="DS58" s="214"/>
      <c r="DT58" s="214"/>
      <c r="DU58" s="214"/>
      <c r="DV58" s="214"/>
      <c r="DW58" s="214"/>
      <c r="DX58" s="214"/>
      <c r="DY58" s="214"/>
      <c r="DZ58" s="214"/>
      <c r="EA58" s="214"/>
      <c r="EB58" s="214"/>
      <c r="EC58" s="214"/>
    </row>
    <row r="59" spans="1:133" ht="14" x14ac:dyDescent="0.15">
      <c r="A59" s="179" t="str">
        <f>'SA Apr 2018'!K37</f>
        <v>Diamond Energy</v>
      </c>
      <c r="B59" s="180" t="str">
        <f>'SA Apr 2018'!L37</f>
        <v>Pay on time discount</v>
      </c>
      <c r="C59" s="181">
        <f>91*'SA Apr 2018'!M37/100</f>
        <v>90.545000000000002</v>
      </c>
      <c r="D59" s="181">
        <f>IF(C50*C51&gt;='SA Apr 2018'!P37,('SA Apr 2018'!P37*'SA Apr 2018'!N37/100),((C50*C51)*'SA Apr 2018'!N37/100))</f>
        <v>419</v>
      </c>
      <c r="E59" s="181">
        <f>IF($C50*C51&lt;'SA Apr 2018'!P37,0,IF(($C50*C51-'SA Apr 2018'!P37)&lt;='SA Apr 2018'!R37,(($C50*C51-'SA Apr 2018'!P37)*'SA Apr 2018'!Q37/100),((('SA Apr 2018'!R37+'SA Apr 2018'!P37)-('SA Apr 2018'!P37))*'SA Apr 2018'!Q37/100)))</f>
        <v>639</v>
      </c>
      <c r="F59" s="182">
        <v>0</v>
      </c>
      <c r="G59" s="183">
        <f>IF(($C$50*$C$51&lt;'SA Apr 2018'!R37+'SA Apr 2018'!P37),(0),((('SA Bills April 2018'!$C$50*'SA Bills April 2018'!$C$51)-('SA Apr 2018'!R37+'SA Apr 2018'!P37))*'SA Apr 2018'!S37/100))</f>
        <v>449</v>
      </c>
      <c r="H59" s="184">
        <f>($C$50*$C$52)*'SA Apr 2018'!W37/100</f>
        <v>419.25</v>
      </c>
      <c r="I59" s="185">
        <f t="shared" si="15"/>
        <v>2016.7950000000001</v>
      </c>
      <c r="J59" s="186">
        <f t="shared" si="16"/>
        <v>8067.18</v>
      </c>
      <c r="K59" s="187">
        <f>'SA Apr 2018'!AZ37</f>
        <v>0</v>
      </c>
      <c r="L59" s="187">
        <f>'SA Apr 2018'!BA37</f>
        <v>0</v>
      </c>
      <c r="M59" s="187">
        <f>'SA Apr 2018'!BB37</f>
        <v>7</v>
      </c>
      <c r="N59" s="187">
        <f>'SA Apr 2018'!BC37</f>
        <v>0</v>
      </c>
      <c r="O59" s="186">
        <f>J59</f>
        <v>8067.18</v>
      </c>
      <c r="P59" s="186">
        <f>O59-(O59*M59/100)</f>
        <v>7502.4773999999998</v>
      </c>
      <c r="Q59" s="186">
        <f t="shared" si="17"/>
        <v>8873.898000000001</v>
      </c>
      <c r="R59" s="186">
        <f t="shared" si="17"/>
        <v>8252.7251400000005</v>
      </c>
      <c r="S59" s="218">
        <f>'SA Apr 2018'!BJ37</f>
        <v>24</v>
      </c>
      <c r="T59" s="219" t="str">
        <f>'SA Apr 2018'!BK37</f>
        <v>y</v>
      </c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</row>
    <row r="60" spans="1:133" s="220" customFormat="1" ht="14" x14ac:dyDescent="0.15">
      <c r="A60" s="179" t="str">
        <f>'SA Apr 2018'!K38</f>
        <v>EnergyAustralia</v>
      </c>
      <c r="B60" s="180" t="str">
        <f>'SA Apr 2018'!L38</f>
        <v>Everyday Saver Business</v>
      </c>
      <c r="C60" s="181">
        <f>91*'SA Apr 2018'!M38/100</f>
        <v>81.536000000000001</v>
      </c>
      <c r="D60" s="181">
        <f>($C$50*$C$51)*'SA Apr 2018'!N38/100</f>
        <v>1834.7</v>
      </c>
      <c r="E60" s="181">
        <v>0</v>
      </c>
      <c r="F60" s="182">
        <v>0</v>
      </c>
      <c r="G60" s="183">
        <v>0</v>
      </c>
      <c r="H60" s="184">
        <f>($C$50*$C$52)*'SA Apr 2018'!W38/100</f>
        <v>379.5</v>
      </c>
      <c r="I60" s="185">
        <f t="shared" si="15"/>
        <v>2295.7359999999999</v>
      </c>
      <c r="J60" s="186">
        <f t="shared" si="16"/>
        <v>9182.9439999999995</v>
      </c>
      <c r="K60" s="187">
        <f>'SA Apr 2018'!AZ38</f>
        <v>0</v>
      </c>
      <c r="L60" s="187">
        <f>'SA Apr 2018'!BA38</f>
        <v>16</v>
      </c>
      <c r="M60" s="187">
        <f>'SA Apr 2018'!BB38</f>
        <v>0</v>
      </c>
      <c r="N60" s="187">
        <f>'SA Apr 2018'!BC38</f>
        <v>0</v>
      </c>
      <c r="O60" s="186">
        <f>J60-((I60-C60)*L60/100)*4</f>
        <v>7765.8559999999998</v>
      </c>
      <c r="P60" s="186">
        <f>O60</f>
        <v>7765.8559999999998</v>
      </c>
      <c r="Q60" s="186">
        <f t="shared" si="17"/>
        <v>8542.4416000000001</v>
      </c>
      <c r="R60" s="186">
        <f t="shared" si="17"/>
        <v>8542.4416000000001</v>
      </c>
      <c r="S60" s="218">
        <f>'SA Apr 2018'!BJ38</f>
        <v>24</v>
      </c>
      <c r="T60" s="219" t="str">
        <f>'SA Apr 2018'!BK38</f>
        <v>y</v>
      </c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4"/>
      <c r="DF60" s="214"/>
      <c r="DG60" s="214"/>
      <c r="DH60" s="214"/>
      <c r="DI60" s="214"/>
      <c r="DJ60" s="214"/>
      <c r="DK60" s="214"/>
      <c r="DL60" s="214"/>
      <c r="DM60" s="214"/>
      <c r="DN60" s="214"/>
      <c r="DO60" s="214"/>
      <c r="DP60" s="214"/>
      <c r="DQ60" s="214"/>
      <c r="DR60" s="214"/>
      <c r="DS60" s="214"/>
      <c r="DT60" s="214"/>
      <c r="DU60" s="214"/>
      <c r="DV60" s="214"/>
      <c r="DW60" s="214"/>
      <c r="DX60" s="214"/>
      <c r="DY60" s="214"/>
      <c r="DZ60" s="214"/>
      <c r="EA60" s="214"/>
      <c r="EB60" s="214"/>
      <c r="EC60" s="214"/>
    </row>
    <row r="61" spans="1:133" ht="14" x14ac:dyDescent="0.15">
      <c r="A61" s="179" t="str">
        <f>'SA Apr 2018'!K39</f>
        <v>ERM Power</v>
      </c>
      <c r="B61" s="180" t="str">
        <f>'SA Apr 2018'!L39</f>
        <v>Adjustable</v>
      </c>
      <c r="C61" s="181">
        <f>91*'SA Apr 2018'!M39/100</f>
        <v>100.1</v>
      </c>
      <c r="D61" s="181">
        <f>($C$50*$C$51)*'SA Apr 2018'!N39/100</f>
        <v>1989.05</v>
      </c>
      <c r="E61" s="181">
        <v>0</v>
      </c>
      <c r="F61" s="182">
        <v>0</v>
      </c>
      <c r="G61" s="183">
        <v>0</v>
      </c>
      <c r="H61" s="184">
        <f>($C$50*$C$52)*'SA Apr 2018'!W39/100</f>
        <v>429.6</v>
      </c>
      <c r="I61" s="185">
        <f t="shared" si="15"/>
        <v>2518.75</v>
      </c>
      <c r="J61" s="186">
        <f t="shared" si="16"/>
        <v>10075</v>
      </c>
      <c r="K61" s="187">
        <f>'SA Apr 2018'!AZ39</f>
        <v>0</v>
      </c>
      <c r="L61" s="187">
        <f>'SA Apr 2018'!BA39</f>
        <v>0</v>
      </c>
      <c r="M61" s="187">
        <f>'SA Apr 2018'!BB39</f>
        <v>0</v>
      </c>
      <c r="N61" s="187">
        <f>'SA Apr 2018'!BC39</f>
        <v>0</v>
      </c>
      <c r="O61" s="186">
        <f>J61</f>
        <v>10075</v>
      </c>
      <c r="P61" s="186">
        <f>O61</f>
        <v>10075</v>
      </c>
      <c r="Q61" s="186">
        <f t="shared" si="17"/>
        <v>11082.5</v>
      </c>
      <c r="R61" s="186">
        <f t="shared" si="17"/>
        <v>11082.5</v>
      </c>
      <c r="S61" s="218">
        <f>'SA Apr 2018'!BJ39</f>
        <v>0</v>
      </c>
      <c r="T61" s="219" t="str">
        <f>'SA Apr 2018'!BK39</f>
        <v>n</v>
      </c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</row>
    <row r="62" spans="1:133" s="220" customFormat="1" ht="14" x14ac:dyDescent="0.15">
      <c r="A62" s="179" t="str">
        <f>'SA Apr 2018'!K40</f>
        <v>Lumo Energy</v>
      </c>
      <c r="B62" s="180" t="str">
        <f>'SA Apr 2018'!L40</f>
        <v>Business Premium</v>
      </c>
      <c r="C62" s="181">
        <f>91*'SA Apr 2018'!M40/100</f>
        <v>78.587600000000009</v>
      </c>
      <c r="D62" s="181">
        <f>IF($C$50*$C$51&gt;='SA Apr 2018'!P40,('SA Apr 2018'!P40*'SA Apr 2018'!N40/100),(($C$50*$C$51)*'SA Apr 2018'!N40/100))</f>
        <v>927.5</v>
      </c>
      <c r="E62" s="181">
        <v>0</v>
      </c>
      <c r="F62" s="182">
        <v>0</v>
      </c>
      <c r="G62" s="183">
        <f>IF(($C$50*$C$51&lt;'SA Apr 2018'!P40),(0),(($C$50*$C$51)-'SA Apr 2018'!P40))*'SA Apr 2018'!Q40/100</f>
        <v>371</v>
      </c>
      <c r="H62" s="184">
        <f>($C$50*$C$52)*'SA Apr 2018'!W40/100</f>
        <v>411</v>
      </c>
      <c r="I62" s="185">
        <f t="shared" si="15"/>
        <v>1788.0876000000001</v>
      </c>
      <c r="J62" s="186">
        <f t="shared" si="16"/>
        <v>7152.3504000000003</v>
      </c>
      <c r="K62" s="187">
        <f>'SA Apr 2018'!AZ40</f>
        <v>0</v>
      </c>
      <c r="L62" s="187">
        <f>'SA Apr 2018'!BA40</f>
        <v>0</v>
      </c>
      <c r="M62" s="187">
        <f>'SA Apr 2018'!BB40</f>
        <v>0</v>
      </c>
      <c r="N62" s="187">
        <f>'SA Apr 2018'!BC40</f>
        <v>0</v>
      </c>
      <c r="O62" s="186">
        <f t="shared" ref="O62:O63" si="18">J62</f>
        <v>7152.3504000000003</v>
      </c>
      <c r="P62" s="186">
        <f t="shared" ref="P62:P63" si="19">O62</f>
        <v>7152.3504000000003</v>
      </c>
      <c r="Q62" s="186">
        <f t="shared" si="17"/>
        <v>7867.5854400000007</v>
      </c>
      <c r="R62" s="186">
        <f t="shared" si="17"/>
        <v>7867.5854400000007</v>
      </c>
      <c r="S62" s="218">
        <f>'SA Apr 2018'!BJ40</f>
        <v>36</v>
      </c>
      <c r="T62" s="219" t="str">
        <f>'SA Apr 2018'!BK40</f>
        <v>n</v>
      </c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4"/>
      <c r="DI62" s="214"/>
      <c r="DJ62" s="214"/>
      <c r="DK62" s="214"/>
      <c r="DL62" s="214"/>
      <c r="DM62" s="214"/>
      <c r="DN62" s="214"/>
      <c r="DO62" s="214"/>
      <c r="DP62" s="214"/>
      <c r="DQ62" s="214"/>
      <c r="DR62" s="214"/>
      <c r="DS62" s="214"/>
      <c r="DT62" s="214"/>
      <c r="DU62" s="214"/>
      <c r="DV62" s="214"/>
      <c r="DW62" s="214"/>
      <c r="DX62" s="214"/>
      <c r="DY62" s="214"/>
      <c r="DZ62" s="214"/>
      <c r="EA62" s="214"/>
      <c r="EB62" s="214"/>
      <c r="EC62" s="214"/>
    </row>
    <row r="63" spans="1:133" ht="14" x14ac:dyDescent="0.15">
      <c r="A63" s="179" t="str">
        <f>'SA Apr 2018'!K41</f>
        <v>Momentum Energy</v>
      </c>
      <c r="B63" s="180" t="str">
        <f>'SA Apr 2018'!L41</f>
        <v>SmilePower</v>
      </c>
      <c r="C63" s="181">
        <f>91*'SA Apr 2018'!M41/100</f>
        <v>80.753399999999999</v>
      </c>
      <c r="D63" s="181">
        <f>IF($C$50*$C$51&gt;='SA Apr 2018'!P41,('SA Apr 2018'!P41*'SA Apr 2018'!N41/100),(($C$50*$C$51)*'SA Apr 2018'!N41/100))</f>
        <v>546.96</v>
      </c>
      <c r="E63" s="181">
        <v>0</v>
      </c>
      <c r="F63" s="182">
        <v>0</v>
      </c>
      <c r="G63" s="183">
        <f>IF(($C$50*$C$51&lt;'SA Apr 2018'!P41),(0),(($C$50*$C$51)-'SA Apr 2018'!P41))*'SA Apr 2018'!Q41/100</f>
        <v>1027.4100000000001</v>
      </c>
      <c r="H63" s="184">
        <f>($C$50*$C$52)*'SA Apr 2018'!W41/100</f>
        <v>409.5</v>
      </c>
      <c r="I63" s="185">
        <f t="shared" si="15"/>
        <v>2064.6234000000004</v>
      </c>
      <c r="J63" s="186">
        <f t="shared" si="16"/>
        <v>8258.4936000000016</v>
      </c>
      <c r="K63" s="187">
        <f>'SA Apr 2018'!AZ41</f>
        <v>0</v>
      </c>
      <c r="L63" s="187">
        <f>'SA Apr 2018'!BA41</f>
        <v>0</v>
      </c>
      <c r="M63" s="187">
        <f>'SA Apr 2018'!BB41</f>
        <v>0</v>
      </c>
      <c r="N63" s="187">
        <f>'SA Apr 2018'!BC41</f>
        <v>0</v>
      </c>
      <c r="O63" s="186">
        <f t="shared" si="18"/>
        <v>8258.4936000000016</v>
      </c>
      <c r="P63" s="186">
        <f t="shared" si="19"/>
        <v>8258.4936000000016</v>
      </c>
      <c r="Q63" s="186">
        <f t="shared" si="17"/>
        <v>9084.3429600000018</v>
      </c>
      <c r="R63" s="186">
        <f t="shared" si="17"/>
        <v>9084.3429600000018</v>
      </c>
      <c r="S63" s="218">
        <f>'SA Apr 2018'!BJ41</f>
        <v>12</v>
      </c>
      <c r="T63" s="219" t="str">
        <f>'SA Apr 2018'!BK41</f>
        <v>y</v>
      </c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</row>
    <row r="64" spans="1:133" s="220" customFormat="1" ht="14" x14ac:dyDescent="0.15">
      <c r="A64" s="179" t="str">
        <f>'SA Apr 2018'!K42</f>
        <v>Origin Energy</v>
      </c>
      <c r="B64" s="180" t="str">
        <f>'SA Apr 2018'!L42</f>
        <v>Business Saver</v>
      </c>
      <c r="C64" s="181">
        <f>91*'SA Apr 2018'!M42/100</f>
        <v>82.764500000000012</v>
      </c>
      <c r="D64" s="181">
        <f>($C$50*$C$51)*'SA Apr 2018'!N42/100</f>
        <v>1493.1</v>
      </c>
      <c r="E64" s="181">
        <v>0</v>
      </c>
      <c r="F64" s="182">
        <v>0</v>
      </c>
      <c r="G64" s="183">
        <v>0</v>
      </c>
      <c r="H64" s="184">
        <f>($C$50*$C$52)*'SA Apr 2018'!W42/100</f>
        <v>415.5</v>
      </c>
      <c r="I64" s="185">
        <f t="shared" si="15"/>
        <v>1991.3644999999999</v>
      </c>
      <c r="J64" s="186">
        <f t="shared" si="16"/>
        <v>7965.4579999999996</v>
      </c>
      <c r="K64" s="187">
        <f>'SA Apr 2018'!AZ42</f>
        <v>0</v>
      </c>
      <c r="L64" s="187">
        <f>'SA Apr 2018'!BA42</f>
        <v>16</v>
      </c>
      <c r="M64" s="187">
        <f>'SA Apr 2018'!BB42</f>
        <v>0</v>
      </c>
      <c r="N64" s="187">
        <f>'SA Apr 2018'!BC42</f>
        <v>0</v>
      </c>
      <c r="O64" s="186">
        <f>J64-((I64-C64)*L64/100)*4</f>
        <v>6743.9539999999997</v>
      </c>
      <c r="P64" s="186">
        <f>O64</f>
        <v>6743.9539999999997</v>
      </c>
      <c r="Q64" s="186">
        <f t="shared" si="17"/>
        <v>7418.3494000000001</v>
      </c>
      <c r="R64" s="186">
        <f t="shared" si="17"/>
        <v>7418.3494000000001</v>
      </c>
      <c r="S64" s="218">
        <f>'SA Apr 2018'!BJ42</f>
        <v>12</v>
      </c>
      <c r="T64" s="219" t="str">
        <f>'SA Apr 2018'!BK42</f>
        <v>y</v>
      </c>
      <c r="U64" s="213"/>
      <c r="V64" s="217"/>
      <c r="W64" s="213"/>
      <c r="X64" s="217"/>
      <c r="Y64" s="213"/>
      <c r="Z64" s="217"/>
      <c r="AA64" s="213"/>
      <c r="AB64" s="217"/>
      <c r="AC64" s="213"/>
      <c r="AD64" s="217"/>
      <c r="AE64" s="213"/>
      <c r="AF64" s="217"/>
      <c r="AG64" s="213"/>
      <c r="AH64" s="217"/>
      <c r="AI64" s="213"/>
      <c r="AJ64" s="217"/>
      <c r="AK64" s="213"/>
      <c r="AL64" s="217"/>
      <c r="AM64" s="213"/>
      <c r="AN64" s="217"/>
      <c r="AO64" s="213"/>
      <c r="AP64" s="217"/>
      <c r="AQ64" s="213"/>
      <c r="AR64" s="217"/>
      <c r="AS64" s="213"/>
      <c r="AT64" s="217"/>
      <c r="AU64" s="213"/>
      <c r="AV64" s="217"/>
      <c r="AW64" s="213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4"/>
      <c r="DF64" s="214"/>
      <c r="DG64" s="214"/>
      <c r="DH64" s="214"/>
      <c r="DI64" s="214"/>
      <c r="DJ64" s="214"/>
      <c r="DK64" s="214"/>
      <c r="DL64" s="214"/>
      <c r="DM64" s="214"/>
      <c r="DN64" s="214"/>
      <c r="DO64" s="214"/>
      <c r="DP64" s="214"/>
      <c r="DQ64" s="214"/>
      <c r="DR64" s="214"/>
      <c r="DS64" s="214"/>
      <c r="DT64" s="214"/>
      <c r="DU64" s="214"/>
      <c r="DV64" s="214"/>
      <c r="DW64" s="214"/>
      <c r="DX64" s="214"/>
      <c r="DY64" s="214"/>
      <c r="DZ64" s="214"/>
      <c r="EA64" s="214"/>
      <c r="EB64" s="214"/>
      <c r="EC64" s="214"/>
    </row>
    <row r="65" spans="1:133" s="225" customFormat="1" ht="14" x14ac:dyDescent="0.15">
      <c r="A65" s="179" t="str">
        <f>'SA Apr 2018'!K43</f>
        <v>Powerdirect</v>
      </c>
      <c r="B65" s="180" t="str">
        <f>'SA Apr 2018'!L43</f>
        <v>Quarterly read</v>
      </c>
      <c r="C65" s="181">
        <f>91*'SA Apr 2018'!M43/100</f>
        <v>82.81</v>
      </c>
      <c r="D65" s="181">
        <f>($C$50*$C$51)*'SA Apr 2018'!N43/100</f>
        <v>1264.1999999999998</v>
      </c>
      <c r="E65" s="181">
        <v>0</v>
      </c>
      <c r="F65" s="182">
        <v>0</v>
      </c>
      <c r="G65" s="183">
        <v>0</v>
      </c>
      <c r="H65" s="184">
        <f>($C$50*$C$52)*'SA Apr 2018'!W43/100</f>
        <v>352.8</v>
      </c>
      <c r="I65" s="185">
        <f t="shared" si="15"/>
        <v>1699.8099999999997</v>
      </c>
      <c r="J65" s="186">
        <f t="shared" si="16"/>
        <v>6799.2399999999989</v>
      </c>
      <c r="K65" s="187">
        <f>'SA Apr 2018'!AZ43</f>
        <v>0</v>
      </c>
      <c r="L65" s="187">
        <f>'SA Apr 2018'!BA43</f>
        <v>0</v>
      </c>
      <c r="M65" s="187">
        <f>'SA Apr 2018'!BB43</f>
        <v>0</v>
      </c>
      <c r="N65" s="187">
        <f>'SA Apr 2018'!BC43</f>
        <v>0</v>
      </c>
      <c r="O65" s="186">
        <f t="shared" ref="O65" si="20">J65</f>
        <v>6799.2399999999989</v>
      </c>
      <c r="P65" s="186">
        <f t="shared" ref="P65" si="21">O65</f>
        <v>6799.2399999999989</v>
      </c>
      <c r="Q65" s="186">
        <f t="shared" si="17"/>
        <v>7479.1639999999998</v>
      </c>
      <c r="R65" s="186">
        <f t="shared" si="17"/>
        <v>7479.1639999999998</v>
      </c>
      <c r="S65" s="218">
        <f>'SA Apr 2018'!BJ43</f>
        <v>0</v>
      </c>
      <c r="T65" s="219" t="str">
        <f>'SA Apr 2018'!BK43</f>
        <v>n</v>
      </c>
      <c r="U65" s="213"/>
      <c r="V65" s="217"/>
      <c r="W65" s="213"/>
      <c r="X65" s="217"/>
      <c r="Y65" s="213"/>
      <c r="Z65" s="217"/>
      <c r="AA65" s="213"/>
      <c r="AB65" s="217"/>
      <c r="AC65" s="213"/>
      <c r="AD65" s="217"/>
      <c r="AE65" s="213"/>
      <c r="AF65" s="217"/>
      <c r="AG65" s="213"/>
      <c r="AH65" s="217"/>
      <c r="AI65" s="213"/>
      <c r="AJ65" s="217"/>
      <c r="AK65" s="213"/>
      <c r="AL65" s="217"/>
      <c r="AM65" s="213"/>
      <c r="AN65" s="217"/>
      <c r="AO65" s="213"/>
      <c r="AP65" s="217"/>
      <c r="AQ65" s="213"/>
      <c r="AR65" s="217"/>
      <c r="AS65" s="213"/>
      <c r="AT65" s="217"/>
      <c r="AU65" s="213"/>
      <c r="AV65" s="217"/>
      <c r="AW65" s="213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  <c r="DT65" s="214"/>
      <c r="DU65" s="214"/>
      <c r="DV65" s="214"/>
      <c r="DW65" s="214"/>
      <c r="DX65" s="214"/>
      <c r="DY65" s="214"/>
      <c r="DZ65" s="214"/>
      <c r="EA65" s="214"/>
      <c r="EB65" s="214"/>
      <c r="EC65" s="214"/>
    </row>
    <row r="66" spans="1:133" s="220" customFormat="1" ht="14" x14ac:dyDescent="0.15">
      <c r="A66" s="179" t="str">
        <f>'SA Apr 2018'!K44</f>
        <v>Red Energy</v>
      </c>
      <c r="B66" s="180" t="str">
        <f>'SA Apr 2018'!L44</f>
        <v>No exit fee saver</v>
      </c>
      <c r="C66" s="181">
        <f>91*'SA Apr 2018'!M44/100</f>
        <v>93.275000000000006</v>
      </c>
      <c r="D66" s="181">
        <f>($C$50*$C$51)*'SA Apr 2018'!N44/100</f>
        <v>1589.7</v>
      </c>
      <c r="E66" s="181">
        <v>0</v>
      </c>
      <c r="F66" s="182">
        <v>0</v>
      </c>
      <c r="G66" s="183">
        <v>0</v>
      </c>
      <c r="H66" s="184">
        <f>($C$50*$C$52)*'SA Apr 2018'!W44/100</f>
        <v>502.65</v>
      </c>
      <c r="I66" s="185">
        <f t="shared" si="15"/>
        <v>2185.625</v>
      </c>
      <c r="J66" s="186">
        <f t="shared" si="16"/>
        <v>8742.5</v>
      </c>
      <c r="K66" s="187">
        <f>'SA Apr 2018'!AZ44</f>
        <v>0</v>
      </c>
      <c r="L66" s="187">
        <f>'SA Apr 2018'!BA44</f>
        <v>0</v>
      </c>
      <c r="M66" s="187">
        <f>'SA Apr 2018'!BB44</f>
        <v>10</v>
      </c>
      <c r="N66" s="187">
        <f>'SA Apr 2018'!BC44</f>
        <v>0</v>
      </c>
      <c r="O66" s="186">
        <f>J66</f>
        <v>8742.5</v>
      </c>
      <c r="P66" s="186">
        <f>O66-(O66*M66/100)</f>
        <v>7868.25</v>
      </c>
      <c r="Q66" s="186">
        <f t="shared" si="17"/>
        <v>9616.75</v>
      </c>
      <c r="R66" s="186">
        <f t="shared" si="17"/>
        <v>8655.0750000000007</v>
      </c>
      <c r="S66" s="218">
        <f>'SA Apr 2018'!BJ44</f>
        <v>0</v>
      </c>
      <c r="T66" s="219" t="str">
        <f>'SA Apr 2018'!BK44</f>
        <v>n</v>
      </c>
      <c r="U66" s="213"/>
      <c r="V66" s="217"/>
      <c r="W66" s="213"/>
      <c r="X66" s="217"/>
      <c r="Y66" s="213"/>
      <c r="Z66" s="217"/>
      <c r="AA66" s="213"/>
      <c r="AB66" s="217"/>
      <c r="AC66" s="213"/>
      <c r="AD66" s="217"/>
      <c r="AE66" s="213"/>
      <c r="AF66" s="217"/>
      <c r="AG66" s="213"/>
      <c r="AH66" s="217"/>
      <c r="AI66" s="213"/>
      <c r="AJ66" s="217"/>
      <c r="AK66" s="213"/>
      <c r="AL66" s="217"/>
      <c r="AM66" s="213"/>
      <c r="AN66" s="217"/>
      <c r="AO66" s="213"/>
      <c r="AP66" s="217"/>
      <c r="AQ66" s="213"/>
      <c r="AR66" s="217"/>
      <c r="AS66" s="213"/>
      <c r="AT66" s="217"/>
      <c r="AU66" s="213"/>
      <c r="AV66" s="217"/>
      <c r="AW66" s="213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V66" s="214"/>
      <c r="DW66" s="214"/>
      <c r="DX66" s="214"/>
      <c r="DY66" s="214"/>
      <c r="DZ66" s="214"/>
      <c r="EA66" s="214"/>
      <c r="EB66" s="214"/>
      <c r="EC66" s="214"/>
    </row>
    <row r="67" spans="1:133" s="225" customFormat="1" ht="14" x14ac:dyDescent="0.15">
      <c r="A67" s="179" t="str">
        <f>'SA Apr 2018'!K45</f>
        <v>Simply Energy</v>
      </c>
      <c r="B67" s="180" t="str">
        <f>'SA Apr 2018'!L45</f>
        <v>Business Plus Online</v>
      </c>
      <c r="C67" s="181">
        <f>91*'SA Apr 2018'!M45/100</f>
        <v>90.626900000000006</v>
      </c>
      <c r="D67" s="181">
        <f>($C$50*$C$51)*'SA Apr 2018'!N45/100</f>
        <v>1706.25</v>
      </c>
      <c r="E67" s="181">
        <v>0</v>
      </c>
      <c r="F67" s="182">
        <v>0</v>
      </c>
      <c r="G67" s="183">
        <v>0</v>
      </c>
      <c r="H67" s="184">
        <f>($C$50*$C$52)*'SA Apr 2018'!W45/100</f>
        <v>428.25</v>
      </c>
      <c r="I67" s="185">
        <f t="shared" si="15"/>
        <v>2225.1269000000002</v>
      </c>
      <c r="J67" s="186">
        <f t="shared" si="16"/>
        <v>8900.5076000000008</v>
      </c>
      <c r="K67" s="187">
        <f>'SA Apr 2018'!AZ45</f>
        <v>0</v>
      </c>
      <c r="L67" s="187">
        <f>'SA Apr 2018'!BA45</f>
        <v>15</v>
      </c>
      <c r="M67" s="187">
        <f>'SA Apr 2018'!BB45</f>
        <v>0</v>
      </c>
      <c r="N67" s="187">
        <f>'SA Apr 2018'!BC45</f>
        <v>0</v>
      </c>
      <c r="O67" s="186">
        <f>J67-((I67-C67)*L67/100)*4</f>
        <v>7619.807600000001</v>
      </c>
      <c r="P67" s="186">
        <f>O67</f>
        <v>7619.807600000001</v>
      </c>
      <c r="Q67" s="186">
        <f t="shared" si="17"/>
        <v>8381.7883600000023</v>
      </c>
      <c r="R67" s="186">
        <f t="shared" si="17"/>
        <v>8381.7883600000023</v>
      </c>
      <c r="S67" s="218">
        <f>'SA Apr 2018'!BJ45</f>
        <v>24</v>
      </c>
      <c r="T67" s="219" t="str">
        <f>'SA Apr 2018'!BK45</f>
        <v>y</v>
      </c>
      <c r="U67" s="213"/>
      <c r="V67" s="217"/>
      <c r="W67" s="213"/>
      <c r="X67" s="217"/>
      <c r="Y67" s="213"/>
      <c r="Z67" s="217"/>
      <c r="AA67" s="213"/>
      <c r="AB67" s="217"/>
      <c r="AC67" s="213"/>
      <c r="AD67" s="217"/>
      <c r="AE67" s="213"/>
      <c r="AF67" s="217"/>
      <c r="AG67" s="213"/>
      <c r="AH67" s="217"/>
      <c r="AI67" s="213"/>
      <c r="AJ67" s="217"/>
      <c r="AK67" s="213"/>
      <c r="AL67" s="217"/>
      <c r="AM67" s="213"/>
      <c r="AN67" s="217"/>
      <c r="AO67" s="213"/>
      <c r="AP67" s="217"/>
      <c r="AQ67" s="213"/>
      <c r="AR67" s="217"/>
      <c r="AS67" s="213"/>
      <c r="AT67" s="217"/>
      <c r="AU67" s="213"/>
      <c r="AV67" s="217"/>
      <c r="AW67" s="213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V67" s="214"/>
      <c r="DW67" s="214"/>
      <c r="DX67" s="214"/>
      <c r="DY67" s="214"/>
      <c r="DZ67" s="214"/>
      <c r="EA67" s="214"/>
      <c r="EB67" s="214"/>
      <c r="EC67" s="214"/>
    </row>
    <row r="68" spans="1:133" s="220" customFormat="1" ht="14" x14ac:dyDescent="0.15">
      <c r="A68" s="179" t="str">
        <f>'SA Apr 2018'!K46</f>
        <v>Blue NRG</v>
      </c>
      <c r="B68" s="180" t="str">
        <f>'SA Apr 2018'!L46</f>
        <v>Super Saver</v>
      </c>
      <c r="C68" s="181">
        <f>91*'SA Apr 2018'!M46/100</f>
        <v>91</v>
      </c>
      <c r="D68" s="181">
        <f>($C$50*$C$51)*'SA Apr 2018'!N46/100</f>
        <v>1520.4</v>
      </c>
      <c r="E68" s="181">
        <v>0</v>
      </c>
      <c r="F68" s="182">
        <v>0</v>
      </c>
      <c r="G68" s="183">
        <v>0</v>
      </c>
      <c r="H68" s="184">
        <f>($C$50*$C$52)*'SA Apr 2018'!W46/100</f>
        <v>422.1</v>
      </c>
      <c r="I68" s="185">
        <f t="shared" si="15"/>
        <v>2033.5</v>
      </c>
      <c r="J68" s="186">
        <f t="shared" si="16"/>
        <v>8134</v>
      </c>
      <c r="K68" s="187">
        <f>'SA Apr 2018'!AZ46</f>
        <v>0</v>
      </c>
      <c r="L68" s="187">
        <f>'SA Apr 2018'!BA46</f>
        <v>0</v>
      </c>
      <c r="M68" s="187">
        <f>'SA Apr 2018'!BB46</f>
        <v>0</v>
      </c>
      <c r="N68" s="187">
        <f>'SA Apr 2018'!BC46</f>
        <v>0</v>
      </c>
      <c r="O68" s="186">
        <f>J68</f>
        <v>8134</v>
      </c>
      <c r="P68" s="186">
        <f t="shared" ref="P68:P69" si="22">O68</f>
        <v>8134</v>
      </c>
      <c r="Q68" s="186">
        <f t="shared" si="17"/>
        <v>8947.4000000000015</v>
      </c>
      <c r="R68" s="186">
        <f t="shared" si="17"/>
        <v>8947.4000000000015</v>
      </c>
      <c r="S68" s="218">
        <f>'SA Apr 2018'!BJ46</f>
        <v>0</v>
      </c>
      <c r="T68" s="219" t="str">
        <f>'SA Apr 2018'!BK46</f>
        <v>n</v>
      </c>
      <c r="U68" s="213"/>
      <c r="V68" s="217"/>
      <c r="W68" s="213"/>
      <c r="X68" s="217"/>
      <c r="Y68" s="213"/>
      <c r="Z68" s="217"/>
      <c r="AA68" s="213"/>
      <c r="AB68" s="217"/>
      <c r="AC68" s="213"/>
      <c r="AD68" s="217"/>
      <c r="AE68" s="213"/>
      <c r="AF68" s="217"/>
      <c r="AG68" s="213"/>
      <c r="AH68" s="217"/>
      <c r="AI68" s="213"/>
      <c r="AJ68" s="217"/>
      <c r="AK68" s="213"/>
      <c r="AL68" s="217"/>
      <c r="AM68" s="213"/>
      <c r="AN68" s="217"/>
      <c r="AO68" s="213"/>
      <c r="AP68" s="217"/>
      <c r="AQ68" s="213"/>
      <c r="AR68" s="217"/>
      <c r="AS68" s="213"/>
      <c r="AT68" s="217"/>
      <c r="AU68" s="213"/>
      <c r="AV68" s="217"/>
      <c r="AW68" s="213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V68" s="214"/>
      <c r="DW68" s="214"/>
      <c r="DX68" s="214"/>
      <c r="DY68" s="214"/>
      <c r="DZ68" s="214"/>
      <c r="EA68" s="214"/>
      <c r="EB68" s="214"/>
      <c r="EC68" s="214"/>
    </row>
    <row r="69" spans="1:133" s="226" customFormat="1" ht="14" x14ac:dyDescent="0.15">
      <c r="A69" s="179" t="str">
        <f>'SA Apr 2018'!K47</f>
        <v>Q Energy</v>
      </c>
      <c r="B69" s="180" t="str">
        <f>'SA Apr 2018'!L47</f>
        <v>Market Rate</v>
      </c>
      <c r="C69" s="181">
        <f>91*'SA Apr 2018'!M47/100</f>
        <v>99.877960000000002</v>
      </c>
      <c r="D69" s="181">
        <f>($C$50*$C$51)*'SA Apr 2018'!N47/100</f>
        <v>1451.2049999999999</v>
      </c>
      <c r="E69" s="181">
        <v>0</v>
      </c>
      <c r="F69" s="182">
        <v>0</v>
      </c>
      <c r="G69" s="183">
        <v>0</v>
      </c>
      <c r="H69" s="184">
        <f>($C$50*$C$52)*'SA Apr 2018'!W47/100</f>
        <v>402.435</v>
      </c>
      <c r="I69" s="185">
        <f t="shared" si="15"/>
        <v>1953.5179599999999</v>
      </c>
      <c r="J69" s="186">
        <f t="shared" si="16"/>
        <v>7814.0718399999996</v>
      </c>
      <c r="K69" s="187">
        <f>'SA Apr 2018'!AZ47</f>
        <v>0</v>
      </c>
      <c r="L69" s="187">
        <f>'SA Apr 2018'!BA47</f>
        <v>0</v>
      </c>
      <c r="M69" s="187">
        <f>'SA Apr 2018'!BB47</f>
        <v>0</v>
      </c>
      <c r="N69" s="187">
        <f>'SA Apr 2018'!BC47</f>
        <v>0</v>
      </c>
      <c r="O69" s="186">
        <f>J69</f>
        <v>7814.0718399999996</v>
      </c>
      <c r="P69" s="186">
        <f t="shared" si="22"/>
        <v>7814.0718399999996</v>
      </c>
      <c r="Q69" s="186">
        <f t="shared" si="17"/>
        <v>8595.4790240000002</v>
      </c>
      <c r="R69" s="186">
        <f t="shared" si="17"/>
        <v>8595.4790240000002</v>
      </c>
      <c r="S69" s="218">
        <f>'SA Apr 2018'!BJ47</f>
        <v>24</v>
      </c>
      <c r="T69" s="219" t="str">
        <f>'SA Apr 2018'!BK47</f>
        <v>y</v>
      </c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4"/>
      <c r="DF69" s="214"/>
      <c r="DG69" s="214"/>
      <c r="DH69" s="214"/>
      <c r="DI69" s="214"/>
      <c r="DJ69" s="214"/>
      <c r="DK69" s="214"/>
      <c r="DL69" s="214"/>
      <c r="DM69" s="214"/>
      <c r="DN69" s="214"/>
      <c r="DO69" s="214"/>
      <c r="DP69" s="214"/>
      <c r="DQ69" s="214"/>
      <c r="DR69" s="214"/>
      <c r="DS69" s="214"/>
      <c r="DT69" s="214"/>
      <c r="DU69" s="214"/>
      <c r="DV69" s="214"/>
      <c r="DW69" s="214"/>
      <c r="DX69" s="214"/>
      <c r="DY69" s="214"/>
      <c r="DZ69" s="214"/>
      <c r="EA69" s="214"/>
      <c r="EB69" s="214"/>
      <c r="EC69" s="214"/>
    </row>
    <row r="70" spans="1:133" s="220" customFormat="1" ht="15" thickBot="1" x14ac:dyDescent="0.2">
      <c r="A70" s="191" t="str">
        <f>'SA Apr 2018'!K48</f>
        <v>Amaysim</v>
      </c>
      <c r="B70" s="192" t="str">
        <f>'SA Apr 2018'!L48</f>
        <v>Business 1</v>
      </c>
      <c r="C70" s="193">
        <f>91*'SA Apr 2018'!M48/100</f>
        <v>75.075000000000003</v>
      </c>
      <c r="D70" s="193">
        <f>($C$50*$C$51)*'SA Apr 2018'!N48/100</f>
        <v>1676.5</v>
      </c>
      <c r="E70" s="193">
        <v>0</v>
      </c>
      <c r="F70" s="193">
        <v>0</v>
      </c>
      <c r="G70" s="194">
        <v>0</v>
      </c>
      <c r="H70" s="193">
        <f>($C$50*$C$52)*'SA Apr 2018'!W48/100</f>
        <v>595.50000000000011</v>
      </c>
      <c r="I70" s="195">
        <f t="shared" si="15"/>
        <v>2347.0750000000003</v>
      </c>
      <c r="J70" s="196">
        <f t="shared" si="16"/>
        <v>9388.3000000000011</v>
      </c>
      <c r="K70" s="197">
        <f>'SA Apr 2018'!AZ48</f>
        <v>0</v>
      </c>
      <c r="L70" s="197">
        <f>'SA Apr 2018'!BA48</f>
        <v>0</v>
      </c>
      <c r="M70" s="197">
        <f>'SA Apr 2018'!BB48</f>
        <v>16</v>
      </c>
      <c r="N70" s="197">
        <f>'SA Apr 2018'!BC48</f>
        <v>0</v>
      </c>
      <c r="O70" s="196">
        <f>J70</f>
        <v>9388.3000000000011</v>
      </c>
      <c r="P70" s="196">
        <f>O70-(O70*M70/100)</f>
        <v>7886.1720000000005</v>
      </c>
      <c r="Q70" s="196">
        <f t="shared" si="17"/>
        <v>10327.130000000003</v>
      </c>
      <c r="R70" s="196">
        <f t="shared" si="17"/>
        <v>8674.7892000000011</v>
      </c>
      <c r="S70" s="221">
        <f>'SA Apr 2018'!BJ48</f>
        <v>0</v>
      </c>
      <c r="T70" s="222" t="str">
        <f>'SA Apr 2018'!BK48</f>
        <v>n</v>
      </c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4"/>
      <c r="DF70" s="214"/>
      <c r="DG70" s="214"/>
      <c r="DH70" s="214"/>
      <c r="DI70" s="214"/>
      <c r="DJ70" s="214"/>
      <c r="DK70" s="214"/>
      <c r="DL70" s="214"/>
      <c r="DM70" s="214"/>
      <c r="DN70" s="214"/>
      <c r="DO70" s="214"/>
      <c r="DP70" s="214"/>
      <c r="DQ70" s="214"/>
      <c r="DR70" s="214"/>
      <c r="DS70" s="214"/>
      <c r="DT70" s="214"/>
      <c r="DU70" s="214"/>
      <c r="DV70" s="214"/>
      <c r="DW70" s="214"/>
      <c r="DX70" s="214"/>
      <c r="DY70" s="214"/>
      <c r="DZ70" s="214"/>
      <c r="EA70" s="214"/>
      <c r="EB70" s="214"/>
      <c r="EC70" s="214"/>
    </row>
    <row r="71" spans="1:133" s="214" customFormat="1" ht="14" x14ac:dyDescent="0.15">
      <c r="A71" s="213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</row>
    <row r="72" spans="1:133" s="214" customFormat="1" ht="14" x14ac:dyDescent="0.15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</row>
    <row r="73" spans="1:133" s="214" customFormat="1" ht="14" x14ac:dyDescent="0.15">
      <c r="A73" s="213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</row>
    <row r="74" spans="1:133" s="214" customFormat="1" ht="14" x14ac:dyDescent="0.15">
      <c r="A74" s="213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</row>
    <row r="75" spans="1:133" s="214" customFormat="1" ht="14" x14ac:dyDescent="0.15">
      <c r="A75" s="213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</row>
    <row r="76" spans="1:133" s="214" customFormat="1" ht="14" x14ac:dyDescent="0.15">
      <c r="A76" s="213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</row>
    <row r="77" spans="1:133" s="214" customFormat="1" ht="14" x14ac:dyDescent="0.15">
      <c r="A77" s="213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</row>
    <row r="78" spans="1:133" s="214" customFormat="1" ht="14" x14ac:dyDescent="0.15">
      <c r="A78" s="213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</row>
    <row r="79" spans="1:133" s="214" customFormat="1" ht="14" x14ac:dyDescent="0.15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</row>
    <row r="80" spans="1:133" s="214" customFormat="1" ht="14" x14ac:dyDescent="0.15">
      <c r="A80" s="213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</row>
    <row r="81" spans="1:49" s="214" customFormat="1" ht="14" x14ac:dyDescent="0.15">
      <c r="A81" s="213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</row>
    <row r="82" spans="1:49" s="214" customFormat="1" ht="14" x14ac:dyDescent="0.15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</row>
    <row r="83" spans="1:49" s="214" customFormat="1" ht="14" x14ac:dyDescent="0.15">
      <c r="A83" s="213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</row>
    <row r="84" spans="1:49" s="214" customFormat="1" ht="14" x14ac:dyDescent="0.15">
      <c r="A84" s="213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</row>
    <row r="85" spans="1:49" s="214" customFormat="1" ht="14" x14ac:dyDescent="0.15">
      <c r="A85" s="213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</row>
    <row r="86" spans="1:49" s="214" customFormat="1" ht="14" x14ac:dyDescent="0.15">
      <c r="A86" s="213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</row>
    <row r="87" spans="1:49" s="214" customFormat="1" ht="14" x14ac:dyDescent="0.15">
      <c r="A87" s="213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</row>
    <row r="88" spans="1:49" s="214" customFormat="1" ht="14" x14ac:dyDescent="0.15">
      <c r="A88" s="213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</row>
    <row r="89" spans="1:49" s="214" customFormat="1" ht="14" x14ac:dyDescent="0.15">
      <c r="A89" s="213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</row>
    <row r="90" spans="1:49" s="214" customFormat="1" ht="14" x14ac:dyDescent="0.15">
      <c r="A90" s="213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</row>
    <row r="91" spans="1:49" s="214" customFormat="1" ht="14" x14ac:dyDescent="0.15">
      <c r="A91" s="213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</row>
    <row r="92" spans="1:49" s="214" customFormat="1" ht="14" x14ac:dyDescent="0.15">
      <c r="A92" s="213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</row>
    <row r="93" spans="1:49" s="214" customFormat="1" ht="14" x14ac:dyDescent="0.15">
      <c r="A93" s="213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</row>
    <row r="94" spans="1:49" s="214" customFormat="1" ht="14" x14ac:dyDescent="0.15">
      <c r="A94" s="213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</row>
    <row r="95" spans="1:49" s="214" customFormat="1" ht="14" x14ac:dyDescent="0.15">
      <c r="A95" s="213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</row>
    <row r="96" spans="1:49" s="214" customFormat="1" ht="14" x14ac:dyDescent="0.15">
      <c r="A96" s="213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</row>
    <row r="97" spans="1:49" s="214" customFormat="1" ht="14" x14ac:dyDescent="0.15">
      <c r="A97" s="213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</row>
    <row r="98" spans="1:49" s="214" customFormat="1" ht="14" x14ac:dyDescent="0.15">
      <c r="A98" s="213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</row>
    <row r="99" spans="1:49" s="214" customFormat="1" ht="14" x14ac:dyDescent="0.15">
      <c r="A99" s="213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</row>
    <row r="100" spans="1:49" s="214" customFormat="1" ht="14" x14ac:dyDescent="0.15">
      <c r="A100" s="213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</row>
    <row r="101" spans="1:49" s="214" customFormat="1" ht="14" x14ac:dyDescent="0.15">
      <c r="A101" s="213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</row>
    <row r="102" spans="1:49" s="214" customFormat="1" ht="14" x14ac:dyDescent="0.15">
      <c r="A102" s="213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</row>
    <row r="103" spans="1:49" s="214" customFormat="1" ht="14" x14ac:dyDescent="0.15">
      <c r="A103" s="213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</row>
    <row r="104" spans="1:49" s="214" customFormat="1" ht="14" x14ac:dyDescent="0.15">
      <c r="A104" s="213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</row>
    <row r="105" spans="1:49" s="214" customFormat="1" ht="14" x14ac:dyDescent="0.15">
      <c r="A105" s="213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</row>
    <row r="106" spans="1:49" s="214" customFormat="1" ht="14" x14ac:dyDescent="0.15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</row>
    <row r="107" spans="1:49" s="214" customFormat="1" ht="14" x14ac:dyDescent="0.15">
      <c r="A107" s="213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</row>
    <row r="108" spans="1:49" s="214" customFormat="1" ht="14" x14ac:dyDescent="0.15">
      <c r="A108" s="213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</row>
    <row r="109" spans="1:49" s="214" customFormat="1" ht="14" x14ac:dyDescent="0.15">
      <c r="A109" s="213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</row>
    <row r="110" spans="1:49" s="214" customFormat="1" ht="14" x14ac:dyDescent="0.15">
      <c r="A110" s="213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</row>
    <row r="111" spans="1:49" s="214" customFormat="1" ht="14" x14ac:dyDescent="0.15">
      <c r="A111" s="213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</row>
    <row r="112" spans="1:49" s="214" customFormat="1" ht="14" x14ac:dyDescent="0.15">
      <c r="A112" s="213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</row>
    <row r="113" spans="1:49" s="214" customFormat="1" ht="14" x14ac:dyDescent="0.15">
      <c r="A113" s="213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</row>
    <row r="114" spans="1:49" s="214" customFormat="1" ht="14" x14ac:dyDescent="0.15">
      <c r="A114" s="213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</row>
    <row r="115" spans="1:49" s="214" customFormat="1" ht="14" x14ac:dyDescent="0.15">
      <c r="A115" s="213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</row>
    <row r="116" spans="1:49" s="214" customFormat="1" ht="14" x14ac:dyDescent="0.15">
      <c r="A116" s="213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</row>
    <row r="117" spans="1:49" s="214" customFormat="1" ht="14" x14ac:dyDescent="0.15">
      <c r="A117" s="213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</row>
    <row r="118" spans="1:49" s="214" customFormat="1" ht="14" x14ac:dyDescent="0.15">
      <c r="A118" s="213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</row>
    <row r="119" spans="1:49" s="214" customFormat="1" ht="14" x14ac:dyDescent="0.15">
      <c r="A119" s="213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</row>
    <row r="120" spans="1:49" s="214" customFormat="1" ht="14" x14ac:dyDescent="0.15">
      <c r="A120" s="213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</row>
    <row r="121" spans="1:49" s="214" customFormat="1" ht="14" x14ac:dyDescent="0.15">
      <c r="A121" s="213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</row>
    <row r="122" spans="1:49" s="214" customFormat="1" ht="14" x14ac:dyDescent="0.15">
      <c r="A122" s="213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</row>
    <row r="123" spans="1:49" s="214" customFormat="1" ht="14" x14ac:dyDescent="0.15">
      <c r="A123" s="213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</row>
    <row r="124" spans="1:49" s="214" customFormat="1" ht="14" x14ac:dyDescent="0.15">
      <c r="A124" s="213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</row>
    <row r="125" spans="1:49" s="214" customFormat="1" ht="14" x14ac:dyDescent="0.15">
      <c r="A125" s="213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</row>
    <row r="126" spans="1:49" s="214" customFormat="1" ht="14" x14ac:dyDescent="0.15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</row>
    <row r="127" spans="1:49" s="214" customFormat="1" ht="14" x14ac:dyDescent="0.15">
      <c r="A127" s="213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</row>
    <row r="128" spans="1:49" s="214" customFormat="1" ht="14" x14ac:dyDescent="0.15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</row>
    <row r="129" spans="1:49" s="214" customFormat="1" ht="14" x14ac:dyDescent="0.15">
      <c r="A129" s="213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</row>
    <row r="130" spans="1:49" s="214" customFormat="1" ht="14" x14ac:dyDescent="0.15">
      <c r="A130" s="213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</row>
    <row r="131" spans="1:49" s="214" customFormat="1" ht="14" x14ac:dyDescent="0.15">
      <c r="A131" s="213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</row>
    <row r="132" spans="1:49" s="214" customFormat="1" ht="14" x14ac:dyDescent="0.15">
      <c r="A132" s="213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</row>
    <row r="133" spans="1:49" s="214" customFormat="1" ht="14" x14ac:dyDescent="0.15">
      <c r="A133" s="213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</row>
    <row r="134" spans="1:49" s="214" customFormat="1" ht="14" x14ac:dyDescent="0.15">
      <c r="A134" s="213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</row>
    <row r="135" spans="1:49" s="214" customFormat="1" ht="14" x14ac:dyDescent="0.15">
      <c r="A135" s="213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</row>
    <row r="136" spans="1:49" s="214" customFormat="1" ht="14" x14ac:dyDescent="0.15">
      <c r="A136" s="213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</row>
    <row r="137" spans="1:49" s="214" customFormat="1" ht="14" x14ac:dyDescent="0.15">
      <c r="A137" s="213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</row>
    <row r="138" spans="1:49" s="214" customFormat="1" ht="14" x14ac:dyDescent="0.15">
      <c r="A138" s="213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</row>
    <row r="139" spans="1:49" s="214" customFormat="1" ht="14" x14ac:dyDescent="0.15">
      <c r="A139" s="213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</row>
    <row r="140" spans="1:49" s="214" customFormat="1" ht="14" x14ac:dyDescent="0.15">
      <c r="A140" s="213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</row>
    <row r="141" spans="1:49" s="214" customFormat="1" ht="14" x14ac:dyDescent="0.15">
      <c r="A141" s="213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</row>
    <row r="142" spans="1:49" s="214" customFormat="1" ht="14" x14ac:dyDescent="0.15">
      <c r="A142" s="213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</row>
    <row r="143" spans="1:49" s="214" customFormat="1" ht="14" x14ac:dyDescent="0.15">
      <c r="A143" s="213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</row>
    <row r="144" spans="1:49" s="214" customFormat="1" ht="14" x14ac:dyDescent="0.15">
      <c r="A144" s="213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</row>
    <row r="145" spans="1:49" s="214" customFormat="1" ht="14" x14ac:dyDescent="0.15">
      <c r="A145" s="213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</row>
    <row r="146" spans="1:49" s="214" customFormat="1" ht="14" x14ac:dyDescent="0.15">
      <c r="A146" s="213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</row>
    <row r="147" spans="1:49" s="214" customFormat="1" ht="14" x14ac:dyDescent="0.15">
      <c r="A147" s="213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</row>
    <row r="148" spans="1:49" s="214" customFormat="1" ht="14" x14ac:dyDescent="0.15">
      <c r="A148" s="213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</row>
    <row r="149" spans="1:49" s="214" customFormat="1" ht="14" x14ac:dyDescent="0.15">
      <c r="A149" s="213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</row>
    <row r="150" spans="1:49" s="214" customFormat="1" ht="14" x14ac:dyDescent="0.15">
      <c r="A150" s="213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</row>
    <row r="151" spans="1:49" s="214" customFormat="1" ht="14" x14ac:dyDescent="0.15">
      <c r="A151" s="213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</row>
    <row r="152" spans="1:49" s="214" customFormat="1" ht="14" x14ac:dyDescent="0.15">
      <c r="A152" s="213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</row>
    <row r="153" spans="1:49" s="214" customFormat="1" ht="14" x14ac:dyDescent="0.15">
      <c r="A153" s="213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</row>
    <row r="154" spans="1:49" s="214" customFormat="1" ht="14" x14ac:dyDescent="0.15">
      <c r="A154" s="213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</row>
    <row r="155" spans="1:49" s="214" customFormat="1" ht="14" x14ac:dyDescent="0.15">
      <c r="A155" s="213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</row>
    <row r="156" spans="1:49" s="214" customFormat="1" ht="14" x14ac:dyDescent="0.15">
      <c r="A156" s="213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</row>
    <row r="157" spans="1:49" s="214" customFormat="1" ht="14" x14ac:dyDescent="0.15">
      <c r="A157" s="213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</row>
    <row r="158" spans="1:49" s="214" customFormat="1" ht="14" x14ac:dyDescent="0.15">
      <c r="A158" s="213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</row>
    <row r="159" spans="1:49" s="214" customFormat="1" ht="14" x14ac:dyDescent="0.15">
      <c r="A159" s="213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</row>
    <row r="160" spans="1:49" s="214" customFormat="1" ht="14" x14ac:dyDescent="0.15">
      <c r="A160" s="213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</row>
    <row r="161" spans="1:49" s="214" customFormat="1" ht="14" x14ac:dyDescent="0.15">
      <c r="A161" s="213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</row>
    <row r="162" spans="1:49" s="214" customFormat="1" ht="14" x14ac:dyDescent="0.15">
      <c r="A162" s="213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</row>
    <row r="163" spans="1:49" s="214" customFormat="1" ht="14" x14ac:dyDescent="0.15">
      <c r="A163" s="213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</row>
    <row r="164" spans="1:49" s="214" customFormat="1" ht="14" x14ac:dyDescent="0.15">
      <c r="A164" s="213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</row>
    <row r="165" spans="1:49" s="214" customFormat="1" ht="14" x14ac:dyDescent="0.15">
      <c r="A165" s="213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</row>
    <row r="166" spans="1:49" s="214" customFormat="1" ht="14" x14ac:dyDescent="0.15">
      <c r="A166" s="213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</row>
    <row r="167" spans="1:49" s="214" customFormat="1" ht="14" x14ac:dyDescent="0.15">
      <c r="A167" s="213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</row>
    <row r="168" spans="1:49" s="214" customFormat="1" ht="14" x14ac:dyDescent="0.15">
      <c r="A168" s="213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</row>
    <row r="169" spans="1:49" s="214" customFormat="1" ht="14" x14ac:dyDescent="0.15">
      <c r="A169" s="213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</row>
    <row r="170" spans="1:49" s="214" customFormat="1" ht="14" x14ac:dyDescent="0.15">
      <c r="A170" s="213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</row>
    <row r="171" spans="1:49" s="214" customFormat="1" ht="14" x14ac:dyDescent="0.15">
      <c r="A171" s="213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</row>
    <row r="172" spans="1:49" s="214" customFormat="1" ht="14" x14ac:dyDescent="0.15">
      <c r="A172" s="213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</row>
    <row r="173" spans="1:49" s="214" customFormat="1" ht="14" x14ac:dyDescent="0.15">
      <c r="A173" s="213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</row>
    <row r="174" spans="1:49" s="214" customFormat="1" ht="14" x14ac:dyDescent="0.15">
      <c r="A174" s="213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</row>
    <row r="175" spans="1:49" s="214" customFormat="1" ht="14" x14ac:dyDescent="0.15">
      <c r="A175" s="213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</row>
    <row r="176" spans="1:49" s="214" customFormat="1" ht="14" x14ac:dyDescent="0.15">
      <c r="A176" s="213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</row>
    <row r="177" spans="1:49" s="214" customFormat="1" ht="14" x14ac:dyDescent="0.15">
      <c r="A177" s="213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</row>
    <row r="178" spans="1:49" s="214" customFormat="1" ht="14" x14ac:dyDescent="0.15">
      <c r="A178" s="213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</row>
    <row r="179" spans="1:49" s="214" customFormat="1" ht="14" x14ac:dyDescent="0.15">
      <c r="A179" s="213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</row>
    <row r="180" spans="1:49" s="214" customFormat="1" ht="14" x14ac:dyDescent="0.15">
      <c r="A180" s="213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</row>
    <row r="181" spans="1:49" s="214" customFormat="1" ht="14" x14ac:dyDescent="0.15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</row>
    <row r="182" spans="1:49" s="214" customFormat="1" ht="14" x14ac:dyDescent="0.15">
      <c r="A182" s="213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</row>
    <row r="183" spans="1:49" s="214" customFormat="1" ht="14" x14ac:dyDescent="0.15">
      <c r="A183" s="213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</row>
    <row r="184" spans="1:49" s="214" customFormat="1" ht="14" x14ac:dyDescent="0.15">
      <c r="A184" s="213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</row>
    <row r="185" spans="1:49" s="214" customFormat="1" ht="14" x14ac:dyDescent="0.15">
      <c r="A185" s="213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13"/>
      <c r="AE185" s="213"/>
      <c r="AF185" s="213"/>
      <c r="AG185" s="213"/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</row>
    <row r="186" spans="1:49" s="214" customFormat="1" ht="14" x14ac:dyDescent="0.15">
      <c r="A186" s="213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</row>
    <row r="187" spans="1:49" s="214" customFormat="1" ht="14" x14ac:dyDescent="0.15">
      <c r="A187" s="213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</row>
    <row r="188" spans="1:49" s="214" customFormat="1" ht="14" x14ac:dyDescent="0.15">
      <c r="A188" s="213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</row>
    <row r="189" spans="1:49" s="214" customFormat="1" ht="14" x14ac:dyDescent="0.15">
      <c r="A189" s="213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</row>
    <row r="190" spans="1:49" s="214" customFormat="1" ht="14" x14ac:dyDescent="0.15">
      <c r="A190" s="213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</row>
    <row r="191" spans="1:49" s="214" customFormat="1" ht="14" x14ac:dyDescent="0.15">
      <c r="A191" s="213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</row>
    <row r="192" spans="1:49" s="214" customFormat="1" ht="14" x14ac:dyDescent="0.15">
      <c r="A192" s="213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</row>
    <row r="193" spans="1:49" s="214" customFormat="1" ht="14" x14ac:dyDescent="0.15">
      <c r="A193" s="213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</row>
    <row r="194" spans="1:49" s="214" customFormat="1" ht="14" x14ac:dyDescent="0.15">
      <c r="A194" s="213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</row>
    <row r="195" spans="1:49" s="214" customFormat="1" ht="14" x14ac:dyDescent="0.15">
      <c r="A195" s="213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</row>
    <row r="196" spans="1:49" s="214" customFormat="1" ht="14" x14ac:dyDescent="0.15">
      <c r="A196" s="213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</row>
    <row r="197" spans="1:49" s="214" customFormat="1" ht="14" x14ac:dyDescent="0.15">
      <c r="A197" s="213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</row>
    <row r="198" spans="1:49" s="214" customFormat="1" ht="14" x14ac:dyDescent="0.15">
      <c r="A198" s="213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</row>
    <row r="199" spans="1:49" s="214" customFormat="1" ht="14" x14ac:dyDescent="0.15">
      <c r="A199" s="213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</row>
    <row r="200" spans="1:49" s="214" customFormat="1" ht="14" x14ac:dyDescent="0.15">
      <c r="A200" s="213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</row>
    <row r="201" spans="1:49" s="214" customFormat="1" ht="14" x14ac:dyDescent="0.15">
      <c r="A201" s="213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</row>
    <row r="202" spans="1:49" s="214" customFormat="1" ht="14" x14ac:dyDescent="0.15">
      <c r="A202" s="213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</row>
    <row r="203" spans="1:49" s="214" customFormat="1" ht="14" x14ac:dyDescent="0.15">
      <c r="A203" s="213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</row>
    <row r="204" spans="1:49" s="214" customFormat="1" ht="14" x14ac:dyDescent="0.15">
      <c r="A204" s="213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</row>
    <row r="205" spans="1:49" s="214" customFormat="1" ht="14" x14ac:dyDescent="0.15">
      <c r="A205" s="213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</row>
    <row r="206" spans="1:49" s="214" customFormat="1" ht="14" x14ac:dyDescent="0.15">
      <c r="A206" s="213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</row>
    <row r="207" spans="1:49" s="214" customFormat="1" ht="14" x14ac:dyDescent="0.15">
      <c r="A207" s="213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</row>
    <row r="208" spans="1:49" s="214" customFormat="1" ht="14" x14ac:dyDescent="0.15">
      <c r="A208" s="213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</row>
    <row r="209" spans="1:49" s="214" customFormat="1" ht="14" x14ac:dyDescent="0.15">
      <c r="A209" s="213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</row>
    <row r="210" spans="1:49" s="214" customFormat="1" ht="14" x14ac:dyDescent="0.15">
      <c r="A210" s="213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</row>
    <row r="211" spans="1:49" s="214" customFormat="1" ht="14" x14ac:dyDescent="0.15">
      <c r="A211" s="213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</row>
    <row r="212" spans="1:49" s="214" customFormat="1" ht="14" x14ac:dyDescent="0.15">
      <c r="A212" s="213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</row>
    <row r="213" spans="1:49" s="214" customFormat="1" ht="14" x14ac:dyDescent="0.15">
      <c r="A213" s="213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</row>
    <row r="214" spans="1:49" s="214" customFormat="1" ht="14" x14ac:dyDescent="0.15">
      <c r="A214" s="213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</row>
    <row r="215" spans="1:49" s="214" customFormat="1" ht="14" x14ac:dyDescent="0.15">
      <c r="A215" s="213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</row>
    <row r="216" spans="1:49" s="214" customFormat="1" ht="14" x14ac:dyDescent="0.15">
      <c r="A216" s="213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</row>
    <row r="217" spans="1:49" s="214" customFormat="1" ht="14" x14ac:dyDescent="0.15">
      <c r="A217" s="213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</row>
    <row r="218" spans="1:49" s="214" customFormat="1" ht="14" x14ac:dyDescent="0.15">
      <c r="A218" s="213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</row>
    <row r="219" spans="1:49" s="214" customFormat="1" ht="14" x14ac:dyDescent="0.15">
      <c r="A219" s="213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</row>
    <row r="220" spans="1:49" s="214" customFormat="1" ht="14" x14ac:dyDescent="0.15">
      <c r="A220" s="213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</row>
    <row r="221" spans="1:49" s="214" customFormat="1" ht="14" x14ac:dyDescent="0.15">
      <c r="A221" s="213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</row>
    <row r="222" spans="1:49" s="214" customFormat="1" ht="14" x14ac:dyDescent="0.15">
      <c r="A222" s="213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</row>
    <row r="223" spans="1:49" s="214" customFormat="1" ht="14" x14ac:dyDescent="0.15">
      <c r="A223" s="213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</row>
    <row r="224" spans="1:49" s="214" customFormat="1" ht="14" x14ac:dyDescent="0.15">
      <c r="A224" s="213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  <c r="AC224" s="213"/>
      <c r="AD224" s="213"/>
      <c r="AE224" s="213"/>
      <c r="AF224" s="213"/>
      <c r="AG224" s="213"/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</row>
    <row r="225" spans="1:49" s="214" customFormat="1" ht="14" x14ac:dyDescent="0.15">
      <c r="A225" s="213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  <c r="AC225" s="213"/>
      <c r="AD225" s="213"/>
      <c r="AE225" s="213"/>
      <c r="AF225" s="213"/>
      <c r="AG225" s="213"/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</row>
    <row r="226" spans="1:49" s="214" customFormat="1" ht="14" x14ac:dyDescent="0.15">
      <c r="A226" s="213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  <c r="AC226" s="213"/>
      <c r="AD226" s="213"/>
      <c r="AE226" s="213"/>
      <c r="AF226" s="213"/>
      <c r="AG226" s="213"/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</row>
    <row r="227" spans="1:49" s="214" customFormat="1" ht="14" x14ac:dyDescent="0.15">
      <c r="A227" s="213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  <c r="AA227" s="213"/>
      <c r="AB227" s="213"/>
      <c r="AC227" s="213"/>
      <c r="AD227" s="213"/>
      <c r="AE227" s="213"/>
      <c r="AF227" s="213"/>
      <c r="AG227" s="213"/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</row>
    <row r="228" spans="1:49" s="214" customFormat="1" ht="14" x14ac:dyDescent="0.15">
      <c r="A228" s="213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3"/>
      <c r="AF228" s="213"/>
      <c r="AG228" s="213"/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</row>
    <row r="229" spans="1:49" s="214" customFormat="1" ht="14" x14ac:dyDescent="0.15">
      <c r="A229" s="213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  <c r="AA229" s="213"/>
      <c r="AB229" s="213"/>
      <c r="AC229" s="213"/>
      <c r="AD229" s="213"/>
      <c r="AE229" s="213"/>
      <c r="AF229" s="213"/>
      <c r="AG229" s="213"/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</row>
    <row r="230" spans="1:49" s="214" customFormat="1" ht="14" x14ac:dyDescent="0.15">
      <c r="A230" s="213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</row>
    <row r="231" spans="1:49" s="214" customFormat="1" ht="14" x14ac:dyDescent="0.15">
      <c r="A231" s="213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</row>
    <row r="232" spans="1:49" s="214" customFormat="1" ht="14" x14ac:dyDescent="0.15">
      <c r="A232" s="213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</row>
    <row r="233" spans="1:49" s="214" customFormat="1" ht="14" x14ac:dyDescent="0.15">
      <c r="A233" s="213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</row>
    <row r="234" spans="1:49" s="214" customFormat="1" ht="14" x14ac:dyDescent="0.15">
      <c r="A234" s="213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</row>
    <row r="235" spans="1:49" s="214" customFormat="1" ht="14" x14ac:dyDescent="0.15">
      <c r="A235" s="213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3"/>
      <c r="AD235" s="213"/>
      <c r="AE235" s="213"/>
      <c r="AF235" s="213"/>
      <c r="AG235" s="213"/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</row>
    <row r="236" spans="1:49" s="214" customFormat="1" ht="14" x14ac:dyDescent="0.15">
      <c r="A236" s="213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3"/>
      <c r="AG236" s="213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</row>
    <row r="237" spans="1:49" s="214" customFormat="1" ht="14" x14ac:dyDescent="0.15">
      <c r="A237" s="213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3"/>
      <c r="AD237" s="213"/>
      <c r="AE237" s="213"/>
      <c r="AF237" s="213"/>
      <c r="AG237" s="213"/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</row>
    <row r="238" spans="1:49" s="214" customFormat="1" ht="14" x14ac:dyDescent="0.15">
      <c r="A238" s="213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3"/>
      <c r="AD238" s="213"/>
      <c r="AE238" s="213"/>
      <c r="AF238" s="213"/>
      <c r="AG238" s="213"/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</row>
    <row r="239" spans="1:49" s="214" customFormat="1" ht="14" x14ac:dyDescent="0.15">
      <c r="A239" s="213"/>
      <c r="B239" s="213"/>
      <c r="C239" s="213"/>
      <c r="D239" s="213"/>
      <c r="E239" s="213"/>
      <c r="F239" s="213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213"/>
      <c r="AE239" s="213"/>
      <c r="AF239" s="213"/>
      <c r="AG239" s="213"/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</row>
    <row r="240" spans="1:49" s="214" customFormat="1" ht="14" x14ac:dyDescent="0.15">
      <c r="A240" s="213"/>
      <c r="B240" s="213"/>
      <c r="C240" s="213"/>
      <c r="D240" s="213"/>
      <c r="E240" s="213"/>
      <c r="F240" s="213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213"/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</row>
    <row r="241" spans="1:133" s="214" customFormat="1" ht="14" x14ac:dyDescent="0.15">
      <c r="A241" s="213"/>
      <c r="B241" s="213"/>
      <c r="C241" s="213"/>
      <c r="D241" s="213"/>
      <c r="E241" s="213"/>
      <c r="F241" s="213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</row>
    <row r="242" spans="1:133" s="214" customFormat="1" ht="14" x14ac:dyDescent="0.15">
      <c r="A242" s="213"/>
      <c r="B242" s="213"/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</row>
    <row r="243" spans="1:133" s="214" customFormat="1" ht="14" x14ac:dyDescent="0.15">
      <c r="A243" s="213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</row>
    <row r="244" spans="1:133" s="214" customFormat="1" ht="14" x14ac:dyDescent="0.15">
      <c r="A244" s="213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</row>
    <row r="245" spans="1:133" s="214" customFormat="1" ht="14" x14ac:dyDescent="0.15">
      <c r="A245" s="213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</row>
    <row r="246" spans="1:133" s="214" customFormat="1" ht="14" x14ac:dyDescent="0.15">
      <c r="A246" s="213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</row>
    <row r="247" spans="1:133" s="214" customFormat="1" ht="14" x14ac:dyDescent="0.15">
      <c r="A247" s="213"/>
      <c r="B247" s="213"/>
      <c r="C247" s="213"/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</row>
    <row r="248" spans="1:133" s="214" customFormat="1" ht="14" x14ac:dyDescent="0.15">
      <c r="A248" s="213"/>
      <c r="B248" s="213"/>
      <c r="C248" s="213"/>
      <c r="D248" s="213"/>
      <c r="E248" s="213"/>
      <c r="F248" s="213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</row>
    <row r="249" spans="1:133" s="214" customFormat="1" ht="14" x14ac:dyDescent="0.15">
      <c r="A249" s="213"/>
      <c r="B249" s="213"/>
      <c r="C249" s="213"/>
      <c r="D249" s="213"/>
      <c r="E249" s="213"/>
      <c r="F249" s="213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</row>
    <row r="250" spans="1:133" s="214" customFormat="1" ht="14" x14ac:dyDescent="0.15">
      <c r="A250" s="213"/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</row>
    <row r="251" spans="1:133" s="214" customFormat="1" ht="14" x14ac:dyDescent="0.15">
      <c r="A251" s="213"/>
      <c r="B251" s="213"/>
      <c r="C251" s="213"/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</row>
    <row r="252" spans="1:133" s="214" customFormat="1" ht="14" x14ac:dyDescent="0.15">
      <c r="A252" s="213"/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</row>
    <row r="253" spans="1:133" s="214" customFormat="1" ht="14" x14ac:dyDescent="0.15">
      <c r="A253" s="213"/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</row>
    <row r="254" spans="1:133" s="214" customFormat="1" ht="14" x14ac:dyDescent="0.15">
      <c r="A254" s="213"/>
      <c r="B254" s="213"/>
      <c r="C254" s="213"/>
      <c r="D254" s="213"/>
      <c r="E254" s="213"/>
      <c r="F254" s="213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</row>
    <row r="255" spans="1:133" s="226" customFormat="1" x14ac:dyDescent="0.15">
      <c r="U255" s="214"/>
      <c r="V255" s="214"/>
      <c r="W255" s="214"/>
      <c r="X255" s="214"/>
      <c r="Y255" s="214"/>
      <c r="Z255" s="214"/>
      <c r="AA255" s="214"/>
      <c r="AB255" s="214"/>
      <c r="AC255" s="214"/>
      <c r="AD255" s="214"/>
      <c r="AE255" s="214"/>
      <c r="AF255" s="214"/>
      <c r="AG255" s="214"/>
      <c r="AH255" s="214"/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  <c r="BI255" s="214"/>
      <c r="BJ255" s="214"/>
      <c r="BK255" s="214"/>
      <c r="BL255" s="214"/>
      <c r="BM255" s="214"/>
      <c r="BN255" s="214"/>
      <c r="BO255" s="214"/>
      <c r="BP255" s="214"/>
      <c r="BQ255" s="214"/>
      <c r="BR255" s="214"/>
      <c r="BS255" s="214"/>
      <c r="BT255" s="214"/>
      <c r="BU255" s="214"/>
      <c r="BV255" s="214"/>
      <c r="BW255" s="214"/>
      <c r="BX255" s="214"/>
      <c r="BY255" s="214"/>
      <c r="BZ255" s="214"/>
      <c r="CA255" s="214"/>
      <c r="CB255" s="214"/>
      <c r="CC255" s="214"/>
      <c r="CD255" s="214"/>
      <c r="CE255" s="214"/>
      <c r="CF255" s="214"/>
      <c r="CG255" s="214"/>
      <c r="CH255" s="214"/>
      <c r="CI255" s="214"/>
      <c r="CJ255" s="214"/>
      <c r="CK255" s="214"/>
      <c r="CL255" s="214"/>
      <c r="CM255" s="214"/>
      <c r="CN255" s="214"/>
      <c r="CO255" s="214"/>
      <c r="CP255" s="214"/>
      <c r="CQ255" s="214"/>
      <c r="CR255" s="214"/>
      <c r="CS255" s="214"/>
      <c r="CT255" s="214"/>
      <c r="CU255" s="214"/>
      <c r="CV255" s="214"/>
      <c r="CW255" s="214"/>
      <c r="CX255" s="214"/>
      <c r="CY255" s="214"/>
      <c r="CZ255" s="214"/>
      <c r="DA255" s="214"/>
      <c r="DB255" s="214"/>
      <c r="DC255" s="214"/>
      <c r="DD255" s="214"/>
      <c r="DE255" s="214"/>
      <c r="DF255" s="214"/>
      <c r="DG255" s="214"/>
      <c r="DH255" s="214"/>
      <c r="DI255" s="214"/>
      <c r="DJ255" s="214"/>
      <c r="DK255" s="214"/>
      <c r="DL255" s="214"/>
      <c r="DM255" s="214"/>
      <c r="DN255" s="214"/>
      <c r="DO255" s="214"/>
      <c r="DP255" s="214"/>
      <c r="DQ255" s="214"/>
      <c r="DR255" s="214"/>
      <c r="DS255" s="214"/>
      <c r="DT255" s="214"/>
      <c r="DU255" s="214"/>
      <c r="DV255" s="214"/>
      <c r="DW255" s="214"/>
      <c r="DX255" s="214"/>
      <c r="DY255" s="214"/>
      <c r="DZ255" s="214"/>
      <c r="EA255" s="214"/>
      <c r="EB255" s="214"/>
      <c r="EC255" s="214"/>
    </row>
    <row r="256" spans="1:133" s="226" customFormat="1" x14ac:dyDescent="0.15">
      <c r="U256" s="214"/>
      <c r="V256" s="214"/>
      <c r="W256" s="214"/>
      <c r="X256" s="214"/>
      <c r="Y256" s="214"/>
      <c r="Z256" s="214"/>
      <c r="AA256" s="214"/>
      <c r="AB256" s="214"/>
      <c r="AC256" s="214"/>
      <c r="AD256" s="214"/>
      <c r="AE256" s="214"/>
      <c r="AF256" s="214"/>
      <c r="AG256" s="214"/>
      <c r="AH256" s="214"/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  <c r="BI256" s="214"/>
      <c r="BJ256" s="214"/>
      <c r="BK256" s="214"/>
      <c r="BL256" s="214"/>
      <c r="BM256" s="214"/>
      <c r="BN256" s="214"/>
      <c r="BO256" s="214"/>
      <c r="BP256" s="214"/>
      <c r="BQ256" s="214"/>
      <c r="BR256" s="214"/>
      <c r="BS256" s="214"/>
      <c r="BT256" s="214"/>
      <c r="BU256" s="214"/>
      <c r="BV256" s="214"/>
      <c r="BW256" s="214"/>
      <c r="BX256" s="214"/>
      <c r="BY256" s="214"/>
      <c r="BZ256" s="214"/>
      <c r="CA256" s="214"/>
      <c r="CB256" s="214"/>
      <c r="CC256" s="214"/>
      <c r="CD256" s="214"/>
      <c r="CE256" s="214"/>
      <c r="CF256" s="214"/>
      <c r="CG256" s="214"/>
      <c r="CH256" s="214"/>
      <c r="CI256" s="214"/>
      <c r="CJ256" s="214"/>
      <c r="CK256" s="214"/>
      <c r="CL256" s="214"/>
      <c r="CM256" s="214"/>
      <c r="CN256" s="214"/>
      <c r="CO256" s="214"/>
      <c r="CP256" s="214"/>
      <c r="CQ256" s="214"/>
      <c r="CR256" s="214"/>
      <c r="CS256" s="214"/>
      <c r="CT256" s="214"/>
      <c r="CU256" s="214"/>
      <c r="CV256" s="214"/>
      <c r="CW256" s="214"/>
      <c r="CX256" s="214"/>
      <c r="CY256" s="214"/>
      <c r="CZ256" s="214"/>
      <c r="DA256" s="214"/>
      <c r="DB256" s="214"/>
      <c r="DC256" s="214"/>
      <c r="DD256" s="214"/>
      <c r="DE256" s="214"/>
      <c r="DF256" s="214"/>
      <c r="DG256" s="214"/>
      <c r="DH256" s="214"/>
      <c r="DI256" s="214"/>
      <c r="DJ256" s="214"/>
      <c r="DK256" s="214"/>
      <c r="DL256" s="214"/>
      <c r="DM256" s="214"/>
      <c r="DN256" s="214"/>
      <c r="DO256" s="214"/>
      <c r="DP256" s="214"/>
      <c r="DQ256" s="214"/>
      <c r="DR256" s="214"/>
      <c r="DS256" s="214"/>
      <c r="DT256" s="214"/>
      <c r="DU256" s="214"/>
      <c r="DV256" s="214"/>
      <c r="DW256" s="214"/>
      <c r="DX256" s="214"/>
      <c r="DY256" s="214"/>
      <c r="DZ256" s="214"/>
      <c r="EA256" s="214"/>
      <c r="EB256" s="214"/>
      <c r="EC256" s="214"/>
    </row>
    <row r="257" spans="21:133" s="226" customFormat="1" x14ac:dyDescent="0.15">
      <c r="U257" s="214"/>
      <c r="V257" s="214"/>
      <c r="W257" s="214"/>
      <c r="X257" s="214"/>
      <c r="Y257" s="214"/>
      <c r="Z257" s="214"/>
      <c r="AA257" s="214"/>
      <c r="AB257" s="214"/>
      <c r="AC257" s="214"/>
      <c r="AD257" s="214"/>
      <c r="AE257" s="214"/>
      <c r="AF257" s="214"/>
      <c r="AG257" s="214"/>
      <c r="AH257" s="214"/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  <c r="BI257" s="214"/>
      <c r="BJ257" s="214"/>
      <c r="BK257" s="214"/>
      <c r="BL257" s="214"/>
      <c r="BM257" s="214"/>
      <c r="BN257" s="214"/>
      <c r="BO257" s="214"/>
      <c r="BP257" s="214"/>
      <c r="BQ257" s="214"/>
      <c r="BR257" s="214"/>
      <c r="BS257" s="214"/>
      <c r="BT257" s="214"/>
      <c r="BU257" s="214"/>
      <c r="BV257" s="214"/>
      <c r="BW257" s="214"/>
      <c r="BX257" s="214"/>
      <c r="BY257" s="214"/>
      <c r="BZ257" s="214"/>
      <c r="CA257" s="214"/>
      <c r="CB257" s="214"/>
      <c r="CC257" s="214"/>
      <c r="CD257" s="214"/>
      <c r="CE257" s="214"/>
      <c r="CF257" s="214"/>
      <c r="CG257" s="214"/>
      <c r="CH257" s="214"/>
      <c r="CI257" s="214"/>
      <c r="CJ257" s="214"/>
      <c r="CK257" s="214"/>
      <c r="CL257" s="214"/>
      <c r="CM257" s="214"/>
      <c r="CN257" s="214"/>
      <c r="CO257" s="214"/>
      <c r="CP257" s="214"/>
      <c r="CQ257" s="214"/>
      <c r="CR257" s="214"/>
      <c r="CS257" s="214"/>
      <c r="CT257" s="214"/>
      <c r="CU257" s="214"/>
      <c r="CV257" s="214"/>
      <c r="CW257" s="214"/>
      <c r="CX257" s="214"/>
      <c r="CY257" s="214"/>
      <c r="CZ257" s="214"/>
      <c r="DA257" s="214"/>
      <c r="DB257" s="214"/>
      <c r="DC257" s="214"/>
      <c r="DD257" s="214"/>
      <c r="DE257" s="214"/>
      <c r="DF257" s="214"/>
      <c r="DG257" s="214"/>
      <c r="DH257" s="214"/>
      <c r="DI257" s="214"/>
      <c r="DJ257" s="214"/>
      <c r="DK257" s="214"/>
      <c r="DL257" s="214"/>
      <c r="DM257" s="214"/>
      <c r="DN257" s="214"/>
      <c r="DO257" s="214"/>
      <c r="DP257" s="214"/>
      <c r="DQ257" s="214"/>
      <c r="DR257" s="214"/>
      <c r="DS257" s="214"/>
      <c r="DT257" s="214"/>
      <c r="DU257" s="214"/>
      <c r="DV257" s="214"/>
      <c r="DW257" s="214"/>
      <c r="DX257" s="214"/>
      <c r="DY257" s="214"/>
      <c r="DZ257" s="214"/>
      <c r="EA257" s="214"/>
      <c r="EB257" s="214"/>
      <c r="EC257" s="214"/>
    </row>
    <row r="258" spans="21:133" s="226" customFormat="1" x14ac:dyDescent="0.15"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4"/>
      <c r="AG258" s="214"/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  <c r="BI258" s="214"/>
      <c r="BJ258" s="214"/>
      <c r="BK258" s="214"/>
      <c r="BL258" s="214"/>
      <c r="BM258" s="214"/>
      <c r="BN258" s="214"/>
      <c r="BO258" s="214"/>
      <c r="BP258" s="214"/>
      <c r="BQ258" s="214"/>
      <c r="BR258" s="214"/>
      <c r="BS258" s="214"/>
      <c r="BT258" s="214"/>
      <c r="BU258" s="214"/>
      <c r="BV258" s="214"/>
      <c r="BW258" s="214"/>
      <c r="BX258" s="214"/>
      <c r="BY258" s="214"/>
      <c r="BZ258" s="214"/>
      <c r="CA258" s="214"/>
      <c r="CB258" s="214"/>
      <c r="CC258" s="214"/>
      <c r="CD258" s="214"/>
      <c r="CE258" s="214"/>
      <c r="CF258" s="214"/>
      <c r="CG258" s="214"/>
      <c r="CH258" s="214"/>
      <c r="CI258" s="214"/>
      <c r="CJ258" s="214"/>
      <c r="CK258" s="214"/>
      <c r="CL258" s="214"/>
      <c r="CM258" s="214"/>
      <c r="CN258" s="214"/>
      <c r="CO258" s="214"/>
      <c r="CP258" s="214"/>
      <c r="CQ258" s="214"/>
      <c r="CR258" s="214"/>
      <c r="CS258" s="214"/>
      <c r="CT258" s="214"/>
      <c r="CU258" s="214"/>
      <c r="CV258" s="214"/>
      <c r="CW258" s="214"/>
      <c r="CX258" s="214"/>
      <c r="CY258" s="214"/>
      <c r="CZ258" s="214"/>
      <c r="DA258" s="214"/>
      <c r="DB258" s="214"/>
      <c r="DC258" s="214"/>
      <c r="DD258" s="214"/>
      <c r="DE258" s="214"/>
      <c r="DF258" s="214"/>
      <c r="DG258" s="214"/>
      <c r="DH258" s="214"/>
      <c r="DI258" s="214"/>
      <c r="DJ258" s="214"/>
      <c r="DK258" s="214"/>
      <c r="DL258" s="214"/>
      <c r="DM258" s="214"/>
      <c r="DN258" s="214"/>
      <c r="DO258" s="214"/>
      <c r="DP258" s="214"/>
      <c r="DQ258" s="214"/>
      <c r="DR258" s="214"/>
      <c r="DS258" s="214"/>
      <c r="DT258" s="214"/>
      <c r="DU258" s="214"/>
      <c r="DV258" s="214"/>
      <c r="DW258" s="214"/>
      <c r="DX258" s="214"/>
      <c r="DY258" s="214"/>
      <c r="DZ258" s="214"/>
      <c r="EA258" s="214"/>
      <c r="EB258" s="214"/>
      <c r="EC258" s="214"/>
    </row>
    <row r="259" spans="21:133" s="226" customFormat="1" x14ac:dyDescent="0.15"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  <c r="BM259" s="214"/>
      <c r="BN259" s="214"/>
      <c r="BO259" s="214"/>
      <c r="BP259" s="214"/>
      <c r="BQ259" s="214"/>
      <c r="BR259" s="214"/>
      <c r="BS259" s="214"/>
      <c r="BT259" s="214"/>
      <c r="BU259" s="214"/>
      <c r="BV259" s="214"/>
      <c r="BW259" s="214"/>
      <c r="BX259" s="214"/>
      <c r="BY259" s="214"/>
      <c r="BZ259" s="214"/>
      <c r="CA259" s="214"/>
      <c r="CB259" s="214"/>
      <c r="CC259" s="214"/>
      <c r="CD259" s="214"/>
      <c r="CE259" s="214"/>
      <c r="CF259" s="214"/>
      <c r="CG259" s="214"/>
      <c r="CH259" s="214"/>
      <c r="CI259" s="214"/>
      <c r="CJ259" s="214"/>
      <c r="CK259" s="214"/>
      <c r="CL259" s="214"/>
      <c r="CM259" s="214"/>
      <c r="CN259" s="214"/>
      <c r="CO259" s="214"/>
      <c r="CP259" s="214"/>
      <c r="CQ259" s="214"/>
      <c r="CR259" s="214"/>
      <c r="CS259" s="214"/>
      <c r="CT259" s="214"/>
      <c r="CU259" s="214"/>
      <c r="CV259" s="214"/>
      <c r="CW259" s="214"/>
      <c r="CX259" s="214"/>
      <c r="CY259" s="214"/>
      <c r="CZ259" s="214"/>
      <c r="DA259" s="214"/>
      <c r="DB259" s="214"/>
      <c r="DC259" s="214"/>
      <c r="DD259" s="214"/>
      <c r="DE259" s="214"/>
      <c r="DF259" s="214"/>
      <c r="DG259" s="214"/>
      <c r="DH259" s="214"/>
      <c r="DI259" s="214"/>
      <c r="DJ259" s="214"/>
      <c r="DK259" s="214"/>
      <c r="DL259" s="214"/>
      <c r="DM259" s="214"/>
      <c r="DN259" s="214"/>
      <c r="DO259" s="214"/>
      <c r="DP259" s="214"/>
      <c r="DQ259" s="214"/>
      <c r="DR259" s="214"/>
      <c r="DS259" s="214"/>
      <c r="DT259" s="214"/>
      <c r="DU259" s="214"/>
      <c r="DV259" s="214"/>
      <c r="DW259" s="214"/>
      <c r="DX259" s="214"/>
      <c r="DY259" s="214"/>
      <c r="DZ259" s="214"/>
      <c r="EA259" s="214"/>
      <c r="EB259" s="214"/>
      <c r="EC259" s="214"/>
    </row>
    <row r="260" spans="21:133" s="226" customFormat="1" x14ac:dyDescent="0.15"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4"/>
      <c r="BN260" s="214"/>
      <c r="BO260" s="214"/>
      <c r="BP260" s="214"/>
      <c r="BQ260" s="214"/>
      <c r="BR260" s="214"/>
      <c r="BS260" s="214"/>
      <c r="BT260" s="214"/>
      <c r="BU260" s="214"/>
      <c r="BV260" s="214"/>
      <c r="BW260" s="214"/>
      <c r="BX260" s="214"/>
      <c r="BY260" s="214"/>
      <c r="BZ260" s="214"/>
      <c r="CA260" s="214"/>
      <c r="CB260" s="214"/>
      <c r="CC260" s="214"/>
      <c r="CD260" s="214"/>
      <c r="CE260" s="214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  <c r="CR260" s="214"/>
      <c r="CS260" s="214"/>
      <c r="CT260" s="214"/>
      <c r="CU260" s="214"/>
      <c r="CV260" s="214"/>
      <c r="CW260" s="214"/>
      <c r="CX260" s="214"/>
      <c r="CY260" s="214"/>
      <c r="CZ260" s="214"/>
      <c r="DA260" s="214"/>
      <c r="DB260" s="214"/>
      <c r="DC260" s="214"/>
      <c r="DD260" s="214"/>
      <c r="DE260" s="214"/>
      <c r="DF260" s="214"/>
      <c r="DG260" s="214"/>
      <c r="DH260" s="214"/>
      <c r="DI260" s="214"/>
      <c r="DJ260" s="214"/>
      <c r="DK260" s="214"/>
      <c r="DL260" s="214"/>
      <c r="DM260" s="214"/>
      <c r="DN260" s="214"/>
      <c r="DO260" s="214"/>
      <c r="DP260" s="214"/>
      <c r="DQ260" s="214"/>
      <c r="DR260" s="214"/>
      <c r="DS260" s="214"/>
      <c r="DT260" s="214"/>
      <c r="DU260" s="214"/>
      <c r="DV260" s="214"/>
      <c r="DW260" s="214"/>
      <c r="DX260" s="214"/>
      <c r="DY260" s="214"/>
      <c r="DZ260" s="214"/>
      <c r="EA260" s="214"/>
      <c r="EB260" s="214"/>
      <c r="EC260" s="214"/>
    </row>
    <row r="261" spans="21:133" s="226" customFormat="1" x14ac:dyDescent="0.15"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4"/>
      <c r="BN261" s="214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4"/>
      <c r="CJ261" s="214"/>
      <c r="CK261" s="214"/>
      <c r="CL261" s="214"/>
      <c r="CM261" s="214"/>
      <c r="CN261" s="214"/>
      <c r="CO261" s="214"/>
      <c r="CP261" s="214"/>
      <c r="CQ261" s="214"/>
      <c r="CR261" s="214"/>
      <c r="CS261" s="214"/>
      <c r="CT261" s="214"/>
      <c r="CU261" s="214"/>
      <c r="CV261" s="214"/>
      <c r="CW261" s="214"/>
      <c r="CX261" s="214"/>
      <c r="CY261" s="214"/>
      <c r="CZ261" s="214"/>
      <c r="DA261" s="214"/>
      <c r="DB261" s="214"/>
      <c r="DC261" s="214"/>
      <c r="DD261" s="214"/>
      <c r="DE261" s="214"/>
      <c r="DF261" s="214"/>
      <c r="DG261" s="214"/>
      <c r="DH261" s="214"/>
      <c r="DI261" s="214"/>
      <c r="DJ261" s="214"/>
      <c r="DK261" s="214"/>
      <c r="DL261" s="214"/>
      <c r="DM261" s="214"/>
      <c r="DN261" s="214"/>
      <c r="DO261" s="214"/>
      <c r="DP261" s="214"/>
      <c r="DQ261" s="214"/>
      <c r="DR261" s="214"/>
      <c r="DS261" s="214"/>
      <c r="DT261" s="214"/>
      <c r="DU261" s="214"/>
      <c r="DV261" s="214"/>
      <c r="DW261" s="214"/>
      <c r="DX261" s="214"/>
      <c r="DY261" s="214"/>
      <c r="DZ261" s="214"/>
      <c r="EA261" s="214"/>
      <c r="EB261" s="214"/>
      <c r="EC261" s="214"/>
    </row>
    <row r="262" spans="21:133" s="226" customFormat="1" x14ac:dyDescent="0.15"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  <c r="BM262" s="214"/>
      <c r="BN262" s="214"/>
      <c r="BO262" s="214"/>
      <c r="BP262" s="214"/>
      <c r="BQ262" s="214"/>
      <c r="BR262" s="214"/>
      <c r="BS262" s="214"/>
      <c r="BT262" s="214"/>
      <c r="BU262" s="214"/>
      <c r="BV262" s="214"/>
      <c r="BW262" s="214"/>
      <c r="BX262" s="214"/>
      <c r="BY262" s="214"/>
      <c r="BZ262" s="214"/>
      <c r="CA262" s="214"/>
      <c r="CB262" s="214"/>
      <c r="CC262" s="214"/>
      <c r="CD262" s="214"/>
      <c r="CE262" s="214"/>
      <c r="CF262" s="214"/>
      <c r="CG262" s="214"/>
      <c r="CH262" s="214"/>
      <c r="CI262" s="214"/>
      <c r="CJ262" s="214"/>
      <c r="CK262" s="214"/>
      <c r="CL262" s="214"/>
      <c r="CM262" s="214"/>
      <c r="CN262" s="214"/>
      <c r="CO262" s="214"/>
      <c r="CP262" s="214"/>
      <c r="CQ262" s="214"/>
      <c r="CR262" s="214"/>
      <c r="CS262" s="214"/>
      <c r="CT262" s="214"/>
      <c r="CU262" s="214"/>
      <c r="CV262" s="214"/>
      <c r="CW262" s="214"/>
      <c r="CX262" s="214"/>
      <c r="CY262" s="214"/>
      <c r="CZ262" s="214"/>
      <c r="DA262" s="214"/>
      <c r="DB262" s="214"/>
      <c r="DC262" s="214"/>
      <c r="DD262" s="214"/>
      <c r="DE262" s="214"/>
      <c r="DF262" s="214"/>
      <c r="DG262" s="214"/>
      <c r="DH262" s="214"/>
      <c r="DI262" s="214"/>
      <c r="DJ262" s="214"/>
      <c r="DK262" s="214"/>
      <c r="DL262" s="214"/>
      <c r="DM262" s="214"/>
      <c r="DN262" s="214"/>
      <c r="DO262" s="214"/>
      <c r="DP262" s="214"/>
      <c r="DQ262" s="214"/>
      <c r="DR262" s="214"/>
      <c r="DS262" s="214"/>
      <c r="DT262" s="214"/>
      <c r="DU262" s="214"/>
      <c r="DV262" s="214"/>
      <c r="DW262" s="214"/>
      <c r="DX262" s="214"/>
      <c r="DY262" s="214"/>
      <c r="DZ262" s="214"/>
      <c r="EA262" s="214"/>
      <c r="EB262" s="214"/>
      <c r="EC262" s="214"/>
    </row>
    <row r="263" spans="21:133" s="226" customFormat="1" x14ac:dyDescent="0.15">
      <c r="U263" s="214"/>
      <c r="V263" s="214"/>
      <c r="W263" s="214"/>
      <c r="X263" s="214"/>
      <c r="Y263" s="214"/>
      <c r="Z263" s="214"/>
      <c r="AA263" s="214"/>
      <c r="AB263" s="214"/>
      <c r="AC263" s="214"/>
      <c r="AD263" s="214"/>
      <c r="AE263" s="214"/>
      <c r="AF263" s="214"/>
      <c r="AG263" s="214"/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  <c r="BI263" s="214"/>
      <c r="BJ263" s="214"/>
      <c r="BK263" s="214"/>
      <c r="BL263" s="214"/>
      <c r="BM263" s="214"/>
      <c r="BN263" s="214"/>
      <c r="BO263" s="214"/>
      <c r="BP263" s="214"/>
      <c r="BQ263" s="214"/>
      <c r="BR263" s="214"/>
      <c r="BS263" s="214"/>
      <c r="BT263" s="214"/>
      <c r="BU263" s="214"/>
      <c r="BV263" s="214"/>
      <c r="BW263" s="214"/>
      <c r="BX263" s="214"/>
      <c r="BY263" s="214"/>
      <c r="BZ263" s="214"/>
      <c r="CA263" s="214"/>
      <c r="CB263" s="214"/>
      <c r="CC263" s="214"/>
      <c r="CD263" s="214"/>
      <c r="CE263" s="214"/>
      <c r="CF263" s="214"/>
      <c r="CG263" s="214"/>
      <c r="CH263" s="214"/>
      <c r="CI263" s="214"/>
      <c r="CJ263" s="214"/>
      <c r="CK263" s="214"/>
      <c r="CL263" s="214"/>
      <c r="CM263" s="214"/>
      <c r="CN263" s="214"/>
      <c r="CO263" s="214"/>
      <c r="CP263" s="214"/>
      <c r="CQ263" s="214"/>
      <c r="CR263" s="214"/>
      <c r="CS263" s="214"/>
      <c r="CT263" s="214"/>
      <c r="CU263" s="214"/>
      <c r="CV263" s="214"/>
      <c r="CW263" s="214"/>
      <c r="CX263" s="214"/>
      <c r="CY263" s="214"/>
      <c r="CZ263" s="214"/>
      <c r="DA263" s="214"/>
      <c r="DB263" s="214"/>
      <c r="DC263" s="214"/>
      <c r="DD263" s="214"/>
      <c r="DE263" s="214"/>
      <c r="DF263" s="214"/>
      <c r="DG263" s="214"/>
      <c r="DH263" s="214"/>
      <c r="DI263" s="214"/>
      <c r="DJ263" s="214"/>
      <c r="DK263" s="214"/>
      <c r="DL263" s="214"/>
      <c r="DM263" s="214"/>
      <c r="DN263" s="214"/>
      <c r="DO263" s="214"/>
      <c r="DP263" s="214"/>
      <c r="DQ263" s="214"/>
      <c r="DR263" s="214"/>
      <c r="DS263" s="214"/>
      <c r="DT263" s="214"/>
      <c r="DU263" s="214"/>
      <c r="DV263" s="214"/>
      <c r="DW263" s="214"/>
      <c r="DX263" s="214"/>
      <c r="DY263" s="214"/>
      <c r="DZ263" s="214"/>
      <c r="EA263" s="214"/>
      <c r="EB263" s="214"/>
      <c r="EC263" s="214"/>
    </row>
    <row r="264" spans="21:133" s="226" customFormat="1" x14ac:dyDescent="0.15"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  <c r="BI264" s="214"/>
      <c r="BJ264" s="214"/>
      <c r="BK264" s="214"/>
      <c r="BL264" s="214"/>
      <c r="BM264" s="214"/>
      <c r="BN264" s="214"/>
      <c r="BO264" s="214"/>
      <c r="BP264" s="214"/>
      <c r="BQ264" s="214"/>
      <c r="BR264" s="214"/>
      <c r="BS264" s="214"/>
      <c r="BT264" s="214"/>
      <c r="BU264" s="214"/>
      <c r="BV264" s="214"/>
      <c r="BW264" s="214"/>
      <c r="BX264" s="214"/>
      <c r="BY264" s="214"/>
      <c r="BZ264" s="214"/>
      <c r="CA264" s="214"/>
      <c r="CB264" s="214"/>
      <c r="CC264" s="214"/>
      <c r="CD264" s="214"/>
      <c r="CE264" s="214"/>
      <c r="CF264" s="214"/>
      <c r="CG264" s="214"/>
      <c r="CH264" s="214"/>
      <c r="CI264" s="214"/>
      <c r="CJ264" s="214"/>
      <c r="CK264" s="214"/>
      <c r="CL264" s="214"/>
      <c r="CM264" s="214"/>
      <c r="CN264" s="214"/>
      <c r="CO264" s="214"/>
      <c r="CP264" s="214"/>
      <c r="CQ264" s="214"/>
      <c r="CR264" s="214"/>
      <c r="CS264" s="214"/>
      <c r="CT264" s="214"/>
      <c r="CU264" s="214"/>
      <c r="CV264" s="214"/>
      <c r="CW264" s="214"/>
      <c r="CX264" s="214"/>
      <c r="CY264" s="214"/>
      <c r="CZ264" s="214"/>
      <c r="DA264" s="214"/>
      <c r="DB264" s="214"/>
      <c r="DC264" s="214"/>
      <c r="DD264" s="214"/>
      <c r="DE264" s="214"/>
      <c r="DF264" s="214"/>
      <c r="DG264" s="214"/>
      <c r="DH264" s="214"/>
      <c r="DI264" s="214"/>
      <c r="DJ264" s="214"/>
      <c r="DK264" s="214"/>
      <c r="DL264" s="214"/>
      <c r="DM264" s="214"/>
      <c r="DN264" s="214"/>
      <c r="DO264" s="214"/>
      <c r="DP264" s="214"/>
      <c r="DQ264" s="214"/>
      <c r="DR264" s="214"/>
      <c r="DS264" s="214"/>
      <c r="DT264" s="214"/>
      <c r="DU264" s="214"/>
      <c r="DV264" s="214"/>
      <c r="DW264" s="214"/>
      <c r="DX264" s="214"/>
      <c r="DY264" s="214"/>
      <c r="DZ264" s="214"/>
      <c r="EA264" s="214"/>
      <c r="EB264" s="214"/>
      <c r="EC264" s="214"/>
    </row>
    <row r="265" spans="21:133" s="226" customFormat="1" x14ac:dyDescent="0.15">
      <c r="U265" s="214"/>
      <c r="V265" s="214"/>
      <c r="W265" s="214"/>
      <c r="X265" s="214"/>
      <c r="Y265" s="214"/>
      <c r="Z265" s="214"/>
      <c r="AA265" s="214"/>
      <c r="AB265" s="214"/>
      <c r="AC265" s="214"/>
      <c r="AD265" s="214"/>
      <c r="AE265" s="214"/>
      <c r="AF265" s="214"/>
      <c r="AG265" s="214"/>
      <c r="AH265" s="214"/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4"/>
      <c r="BN265" s="214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4"/>
      <c r="CJ265" s="214"/>
      <c r="CK265" s="214"/>
      <c r="CL265" s="214"/>
      <c r="CM265" s="214"/>
      <c r="CN265" s="214"/>
      <c r="CO265" s="214"/>
      <c r="CP265" s="214"/>
      <c r="CQ265" s="214"/>
      <c r="CR265" s="214"/>
      <c r="CS265" s="214"/>
      <c r="CT265" s="214"/>
      <c r="CU265" s="214"/>
      <c r="CV265" s="214"/>
      <c r="CW265" s="214"/>
      <c r="CX265" s="214"/>
      <c r="CY265" s="214"/>
      <c r="CZ265" s="214"/>
      <c r="DA265" s="214"/>
      <c r="DB265" s="214"/>
      <c r="DC265" s="214"/>
      <c r="DD265" s="214"/>
      <c r="DE265" s="214"/>
      <c r="DF265" s="214"/>
      <c r="DG265" s="214"/>
      <c r="DH265" s="214"/>
      <c r="DI265" s="214"/>
      <c r="DJ265" s="214"/>
      <c r="DK265" s="214"/>
      <c r="DL265" s="214"/>
      <c r="DM265" s="214"/>
      <c r="DN265" s="214"/>
      <c r="DO265" s="214"/>
      <c r="DP265" s="214"/>
      <c r="DQ265" s="214"/>
      <c r="DR265" s="214"/>
      <c r="DS265" s="214"/>
      <c r="DT265" s="214"/>
      <c r="DU265" s="214"/>
      <c r="DV265" s="214"/>
      <c r="DW265" s="214"/>
      <c r="DX265" s="214"/>
      <c r="DY265" s="214"/>
      <c r="DZ265" s="214"/>
      <c r="EA265" s="214"/>
      <c r="EB265" s="214"/>
      <c r="EC265" s="214"/>
    </row>
    <row r="266" spans="21:133" s="226" customFormat="1" x14ac:dyDescent="0.15"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  <c r="CR266" s="214"/>
      <c r="CS266" s="214"/>
      <c r="CT266" s="214"/>
      <c r="CU266" s="214"/>
      <c r="CV266" s="214"/>
      <c r="CW266" s="214"/>
      <c r="CX266" s="214"/>
      <c r="CY266" s="214"/>
      <c r="CZ266" s="214"/>
      <c r="DA266" s="214"/>
      <c r="DB266" s="214"/>
      <c r="DC266" s="214"/>
      <c r="DD266" s="214"/>
      <c r="DE266" s="214"/>
      <c r="DF266" s="214"/>
      <c r="DG266" s="214"/>
      <c r="DH266" s="214"/>
      <c r="DI266" s="214"/>
      <c r="DJ266" s="214"/>
      <c r="DK266" s="214"/>
      <c r="DL266" s="214"/>
      <c r="DM266" s="214"/>
      <c r="DN266" s="214"/>
      <c r="DO266" s="214"/>
      <c r="DP266" s="214"/>
      <c r="DQ266" s="214"/>
      <c r="DR266" s="214"/>
      <c r="DS266" s="214"/>
      <c r="DT266" s="214"/>
      <c r="DU266" s="214"/>
      <c r="DV266" s="214"/>
      <c r="DW266" s="214"/>
      <c r="DX266" s="214"/>
      <c r="DY266" s="214"/>
      <c r="DZ266" s="214"/>
      <c r="EA266" s="214"/>
      <c r="EB266" s="214"/>
      <c r="EC266" s="214"/>
    </row>
    <row r="267" spans="21:133" s="226" customFormat="1" x14ac:dyDescent="0.15">
      <c r="U267" s="214"/>
      <c r="V267" s="214"/>
      <c r="W267" s="214"/>
      <c r="X267" s="214"/>
      <c r="Y267" s="214"/>
      <c r="Z267" s="214"/>
      <c r="AA267" s="214"/>
      <c r="AB267" s="214"/>
      <c r="AC267" s="214"/>
      <c r="AD267" s="214"/>
      <c r="AE267" s="214"/>
      <c r="AF267" s="214"/>
      <c r="AG267" s="214"/>
      <c r="AH267" s="214"/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  <c r="BI267" s="214"/>
      <c r="BJ267" s="214"/>
      <c r="BK267" s="214"/>
      <c r="BL267" s="214"/>
      <c r="BM267" s="214"/>
      <c r="BN267" s="214"/>
      <c r="BO267" s="214"/>
      <c r="BP267" s="214"/>
      <c r="BQ267" s="214"/>
      <c r="BR267" s="214"/>
      <c r="BS267" s="214"/>
      <c r="BT267" s="214"/>
      <c r="BU267" s="214"/>
      <c r="BV267" s="214"/>
      <c r="BW267" s="214"/>
      <c r="BX267" s="214"/>
      <c r="BY267" s="214"/>
      <c r="BZ267" s="214"/>
      <c r="CA267" s="214"/>
      <c r="CB267" s="214"/>
      <c r="CC267" s="214"/>
      <c r="CD267" s="214"/>
      <c r="CE267" s="214"/>
      <c r="CF267" s="214"/>
      <c r="CG267" s="214"/>
      <c r="CH267" s="214"/>
      <c r="CI267" s="214"/>
      <c r="CJ267" s="214"/>
      <c r="CK267" s="214"/>
      <c r="CL267" s="214"/>
      <c r="CM267" s="214"/>
      <c r="CN267" s="214"/>
      <c r="CO267" s="214"/>
      <c r="CP267" s="214"/>
      <c r="CQ267" s="214"/>
      <c r="CR267" s="214"/>
      <c r="CS267" s="214"/>
      <c r="CT267" s="214"/>
      <c r="CU267" s="214"/>
      <c r="CV267" s="214"/>
      <c r="CW267" s="214"/>
      <c r="CX267" s="214"/>
      <c r="CY267" s="214"/>
      <c r="CZ267" s="214"/>
      <c r="DA267" s="214"/>
      <c r="DB267" s="214"/>
      <c r="DC267" s="214"/>
      <c r="DD267" s="214"/>
      <c r="DE267" s="214"/>
      <c r="DF267" s="214"/>
      <c r="DG267" s="214"/>
      <c r="DH267" s="214"/>
      <c r="DI267" s="214"/>
      <c r="DJ267" s="214"/>
      <c r="DK267" s="214"/>
      <c r="DL267" s="214"/>
      <c r="DM267" s="214"/>
      <c r="DN267" s="214"/>
      <c r="DO267" s="214"/>
      <c r="DP267" s="214"/>
      <c r="DQ267" s="214"/>
      <c r="DR267" s="214"/>
      <c r="DS267" s="214"/>
      <c r="DT267" s="214"/>
      <c r="DU267" s="214"/>
      <c r="DV267" s="214"/>
      <c r="DW267" s="214"/>
      <c r="DX267" s="214"/>
      <c r="DY267" s="214"/>
      <c r="DZ267" s="214"/>
      <c r="EA267" s="214"/>
      <c r="EB267" s="214"/>
      <c r="EC267" s="214"/>
    </row>
    <row r="268" spans="21:133" s="226" customFormat="1" x14ac:dyDescent="0.15">
      <c r="U268" s="214"/>
      <c r="V268" s="214"/>
      <c r="W268" s="214"/>
      <c r="X268" s="214"/>
      <c r="Y268" s="214"/>
      <c r="Z268" s="214"/>
      <c r="AA268" s="214"/>
      <c r="AB268" s="214"/>
      <c r="AC268" s="214"/>
      <c r="AD268" s="214"/>
      <c r="AE268" s="214"/>
      <c r="AF268" s="214"/>
      <c r="AG268" s="214"/>
      <c r="AH268" s="214"/>
      <c r="AI268" s="214"/>
      <c r="AJ268" s="214"/>
      <c r="AK268" s="214"/>
      <c r="AL268" s="214"/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  <c r="BI268" s="214"/>
      <c r="BJ268" s="214"/>
      <c r="BK268" s="214"/>
      <c r="BL268" s="214"/>
      <c r="BM268" s="214"/>
      <c r="BN268" s="214"/>
      <c r="BO268" s="214"/>
      <c r="BP268" s="214"/>
      <c r="BQ268" s="214"/>
      <c r="BR268" s="214"/>
      <c r="BS268" s="214"/>
      <c r="BT268" s="214"/>
      <c r="BU268" s="214"/>
      <c r="BV268" s="214"/>
      <c r="BW268" s="214"/>
      <c r="BX268" s="214"/>
      <c r="BY268" s="214"/>
      <c r="BZ268" s="214"/>
      <c r="CA268" s="214"/>
      <c r="CB268" s="214"/>
      <c r="CC268" s="214"/>
      <c r="CD268" s="214"/>
      <c r="CE268" s="214"/>
      <c r="CF268" s="214"/>
      <c r="CG268" s="214"/>
      <c r="CH268" s="214"/>
      <c r="CI268" s="214"/>
      <c r="CJ268" s="214"/>
      <c r="CK268" s="214"/>
      <c r="CL268" s="214"/>
      <c r="CM268" s="214"/>
      <c r="CN268" s="214"/>
      <c r="CO268" s="214"/>
      <c r="CP268" s="214"/>
      <c r="CQ268" s="214"/>
      <c r="CR268" s="214"/>
      <c r="CS268" s="214"/>
      <c r="CT268" s="214"/>
      <c r="CU268" s="214"/>
      <c r="CV268" s="214"/>
      <c r="CW268" s="214"/>
      <c r="CX268" s="214"/>
      <c r="CY268" s="214"/>
      <c r="CZ268" s="214"/>
      <c r="DA268" s="214"/>
      <c r="DB268" s="214"/>
      <c r="DC268" s="214"/>
      <c r="DD268" s="214"/>
      <c r="DE268" s="214"/>
      <c r="DF268" s="214"/>
      <c r="DG268" s="214"/>
      <c r="DH268" s="214"/>
      <c r="DI268" s="214"/>
      <c r="DJ268" s="214"/>
      <c r="DK268" s="214"/>
      <c r="DL268" s="214"/>
      <c r="DM268" s="214"/>
      <c r="DN268" s="214"/>
      <c r="DO268" s="214"/>
      <c r="DP268" s="214"/>
      <c r="DQ268" s="214"/>
      <c r="DR268" s="214"/>
      <c r="DS268" s="214"/>
      <c r="DT268" s="214"/>
      <c r="DU268" s="214"/>
      <c r="DV268" s="214"/>
      <c r="DW268" s="214"/>
      <c r="DX268" s="214"/>
      <c r="DY268" s="214"/>
      <c r="DZ268" s="214"/>
      <c r="EA268" s="214"/>
      <c r="EB268" s="214"/>
      <c r="EC268" s="214"/>
    </row>
    <row r="269" spans="21:133" s="226" customFormat="1" x14ac:dyDescent="0.15">
      <c r="U269" s="214"/>
      <c r="V269" s="214"/>
      <c r="W269" s="214"/>
      <c r="X269" s="214"/>
      <c r="Y269" s="214"/>
      <c r="Z269" s="214"/>
      <c r="AA269" s="214"/>
      <c r="AB269" s="214"/>
      <c r="AC269" s="214"/>
      <c r="AD269" s="214"/>
      <c r="AE269" s="214"/>
      <c r="AF269" s="214"/>
      <c r="AG269" s="214"/>
      <c r="AH269" s="214"/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  <c r="BI269" s="214"/>
      <c r="BJ269" s="214"/>
      <c r="BK269" s="214"/>
      <c r="BL269" s="214"/>
      <c r="BM269" s="214"/>
      <c r="BN269" s="214"/>
      <c r="BO269" s="214"/>
      <c r="BP269" s="214"/>
      <c r="BQ269" s="214"/>
      <c r="BR269" s="214"/>
      <c r="BS269" s="214"/>
      <c r="BT269" s="214"/>
      <c r="BU269" s="214"/>
      <c r="BV269" s="214"/>
      <c r="BW269" s="214"/>
      <c r="BX269" s="214"/>
      <c r="BY269" s="214"/>
      <c r="BZ269" s="214"/>
      <c r="CA269" s="214"/>
      <c r="CB269" s="214"/>
      <c r="CC269" s="214"/>
      <c r="CD269" s="214"/>
      <c r="CE269" s="214"/>
      <c r="CF269" s="214"/>
      <c r="CG269" s="214"/>
      <c r="CH269" s="214"/>
      <c r="CI269" s="214"/>
      <c r="CJ269" s="214"/>
      <c r="CK269" s="214"/>
      <c r="CL269" s="214"/>
      <c r="CM269" s="214"/>
      <c r="CN269" s="214"/>
      <c r="CO269" s="214"/>
      <c r="CP269" s="214"/>
      <c r="CQ269" s="214"/>
      <c r="CR269" s="214"/>
      <c r="CS269" s="214"/>
      <c r="CT269" s="214"/>
      <c r="CU269" s="214"/>
      <c r="CV269" s="214"/>
      <c r="CW269" s="214"/>
      <c r="CX269" s="214"/>
      <c r="CY269" s="214"/>
      <c r="CZ269" s="214"/>
      <c r="DA269" s="214"/>
      <c r="DB269" s="214"/>
      <c r="DC269" s="214"/>
      <c r="DD269" s="214"/>
      <c r="DE269" s="214"/>
      <c r="DF269" s="214"/>
      <c r="DG269" s="214"/>
      <c r="DH269" s="214"/>
      <c r="DI269" s="214"/>
      <c r="DJ269" s="214"/>
      <c r="DK269" s="214"/>
      <c r="DL269" s="214"/>
      <c r="DM269" s="214"/>
      <c r="DN269" s="214"/>
      <c r="DO269" s="214"/>
      <c r="DP269" s="214"/>
      <c r="DQ269" s="214"/>
      <c r="DR269" s="214"/>
      <c r="DS269" s="214"/>
      <c r="DT269" s="214"/>
      <c r="DU269" s="214"/>
      <c r="DV269" s="214"/>
      <c r="DW269" s="214"/>
      <c r="DX269" s="214"/>
      <c r="DY269" s="214"/>
      <c r="DZ269" s="214"/>
      <c r="EA269" s="214"/>
      <c r="EB269" s="214"/>
      <c r="EC269" s="214"/>
    </row>
    <row r="270" spans="21:133" s="226" customFormat="1" x14ac:dyDescent="0.15">
      <c r="U270" s="214"/>
      <c r="V270" s="214"/>
      <c r="W270" s="214"/>
      <c r="X270" s="214"/>
      <c r="Y270" s="214"/>
      <c r="Z270" s="214"/>
      <c r="AA270" s="214"/>
      <c r="AB270" s="214"/>
      <c r="AC270" s="214"/>
      <c r="AD270" s="214"/>
      <c r="AE270" s="214"/>
      <c r="AF270" s="214"/>
      <c r="AG270" s="214"/>
      <c r="AH270" s="214"/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  <c r="BI270" s="214"/>
      <c r="BJ270" s="214"/>
      <c r="BK270" s="214"/>
      <c r="BL270" s="214"/>
      <c r="BM270" s="214"/>
      <c r="BN270" s="214"/>
      <c r="BO270" s="214"/>
      <c r="BP270" s="214"/>
      <c r="BQ270" s="214"/>
      <c r="BR270" s="214"/>
      <c r="BS270" s="214"/>
      <c r="BT270" s="214"/>
      <c r="BU270" s="214"/>
      <c r="BV270" s="214"/>
      <c r="BW270" s="214"/>
      <c r="BX270" s="214"/>
      <c r="BY270" s="214"/>
      <c r="BZ270" s="214"/>
      <c r="CA270" s="214"/>
      <c r="CB270" s="214"/>
      <c r="CC270" s="214"/>
      <c r="CD270" s="214"/>
      <c r="CE270" s="214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  <c r="CR270" s="214"/>
      <c r="CS270" s="214"/>
      <c r="CT270" s="214"/>
      <c r="CU270" s="214"/>
      <c r="CV270" s="214"/>
      <c r="CW270" s="214"/>
      <c r="CX270" s="214"/>
      <c r="CY270" s="214"/>
      <c r="CZ270" s="214"/>
      <c r="DA270" s="214"/>
      <c r="DB270" s="214"/>
      <c r="DC270" s="214"/>
      <c r="DD270" s="214"/>
      <c r="DE270" s="214"/>
      <c r="DF270" s="214"/>
      <c r="DG270" s="214"/>
      <c r="DH270" s="214"/>
      <c r="DI270" s="214"/>
      <c r="DJ270" s="214"/>
      <c r="DK270" s="214"/>
      <c r="DL270" s="214"/>
      <c r="DM270" s="214"/>
      <c r="DN270" s="214"/>
      <c r="DO270" s="214"/>
      <c r="DP270" s="214"/>
      <c r="DQ270" s="214"/>
      <c r="DR270" s="214"/>
      <c r="DS270" s="214"/>
      <c r="DT270" s="214"/>
      <c r="DU270" s="214"/>
      <c r="DV270" s="214"/>
      <c r="DW270" s="214"/>
      <c r="DX270" s="214"/>
      <c r="DY270" s="214"/>
      <c r="DZ270" s="214"/>
      <c r="EA270" s="214"/>
      <c r="EB270" s="214"/>
      <c r="EC270" s="214"/>
    </row>
    <row r="271" spans="21:133" s="226" customFormat="1" x14ac:dyDescent="0.15">
      <c r="U271" s="214"/>
      <c r="V271" s="214"/>
      <c r="W271" s="214"/>
      <c r="X271" s="214"/>
      <c r="Y271" s="214"/>
      <c r="Z271" s="214"/>
      <c r="AA271" s="214"/>
      <c r="AB271" s="214"/>
      <c r="AC271" s="214"/>
      <c r="AD271" s="214"/>
      <c r="AE271" s="214"/>
      <c r="AF271" s="214"/>
      <c r="AG271" s="214"/>
      <c r="AH271" s="214"/>
      <c r="AI271" s="214"/>
      <c r="AJ271" s="214"/>
      <c r="AK271" s="214"/>
      <c r="AL271" s="214"/>
      <c r="AM271" s="214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  <c r="CM271" s="214"/>
      <c r="CN271" s="214"/>
      <c r="CO271" s="214"/>
      <c r="CP271" s="214"/>
      <c r="CQ271" s="214"/>
      <c r="CR271" s="214"/>
      <c r="CS271" s="214"/>
      <c r="CT271" s="214"/>
      <c r="CU271" s="214"/>
      <c r="CV271" s="214"/>
      <c r="CW271" s="214"/>
      <c r="CX271" s="214"/>
      <c r="CY271" s="214"/>
      <c r="CZ271" s="214"/>
      <c r="DA271" s="214"/>
      <c r="DB271" s="214"/>
      <c r="DC271" s="214"/>
      <c r="DD271" s="214"/>
      <c r="DE271" s="214"/>
      <c r="DF271" s="214"/>
      <c r="DG271" s="214"/>
      <c r="DH271" s="214"/>
      <c r="DI271" s="214"/>
      <c r="DJ271" s="214"/>
      <c r="DK271" s="214"/>
      <c r="DL271" s="214"/>
      <c r="DM271" s="214"/>
      <c r="DN271" s="214"/>
      <c r="DO271" s="214"/>
      <c r="DP271" s="214"/>
      <c r="DQ271" s="214"/>
      <c r="DR271" s="214"/>
      <c r="DS271" s="214"/>
      <c r="DT271" s="214"/>
      <c r="DU271" s="214"/>
      <c r="DV271" s="214"/>
      <c r="DW271" s="214"/>
      <c r="DX271" s="214"/>
      <c r="DY271" s="214"/>
      <c r="DZ271" s="214"/>
      <c r="EA271" s="214"/>
      <c r="EB271" s="214"/>
      <c r="EC271" s="214"/>
    </row>
    <row r="272" spans="21:133" s="226" customFormat="1" x14ac:dyDescent="0.15"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  <c r="CM272" s="214"/>
      <c r="CN272" s="214"/>
      <c r="CO272" s="214"/>
      <c r="CP272" s="214"/>
      <c r="CQ272" s="214"/>
      <c r="CR272" s="214"/>
      <c r="CS272" s="214"/>
      <c r="CT272" s="214"/>
      <c r="CU272" s="214"/>
      <c r="CV272" s="214"/>
      <c r="CW272" s="214"/>
      <c r="CX272" s="214"/>
      <c r="CY272" s="214"/>
      <c r="CZ272" s="214"/>
      <c r="DA272" s="214"/>
      <c r="DB272" s="214"/>
      <c r="DC272" s="214"/>
      <c r="DD272" s="214"/>
      <c r="DE272" s="214"/>
      <c r="DF272" s="214"/>
      <c r="DG272" s="214"/>
      <c r="DH272" s="214"/>
      <c r="DI272" s="214"/>
      <c r="DJ272" s="214"/>
      <c r="DK272" s="214"/>
      <c r="DL272" s="214"/>
      <c r="DM272" s="214"/>
      <c r="DN272" s="214"/>
      <c r="DO272" s="214"/>
      <c r="DP272" s="214"/>
      <c r="DQ272" s="214"/>
      <c r="DR272" s="214"/>
      <c r="DS272" s="214"/>
      <c r="DT272" s="214"/>
      <c r="DU272" s="214"/>
      <c r="DV272" s="214"/>
      <c r="DW272" s="214"/>
      <c r="DX272" s="214"/>
      <c r="DY272" s="214"/>
      <c r="DZ272" s="214"/>
      <c r="EA272" s="214"/>
      <c r="EB272" s="214"/>
      <c r="EC272" s="214"/>
    </row>
    <row r="273" spans="21:133" s="226" customFormat="1" x14ac:dyDescent="0.15"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4"/>
      <c r="AE273" s="214"/>
      <c r="AF273" s="214"/>
      <c r="AG273" s="214"/>
      <c r="AH273" s="214"/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  <c r="BI273" s="214"/>
      <c r="BJ273" s="214"/>
      <c r="BK273" s="214"/>
      <c r="BL273" s="214"/>
      <c r="BM273" s="214"/>
      <c r="BN273" s="214"/>
      <c r="BO273" s="214"/>
      <c r="BP273" s="214"/>
      <c r="BQ273" s="214"/>
      <c r="BR273" s="214"/>
      <c r="BS273" s="214"/>
      <c r="BT273" s="214"/>
      <c r="BU273" s="214"/>
      <c r="BV273" s="214"/>
      <c r="BW273" s="214"/>
      <c r="BX273" s="214"/>
      <c r="BY273" s="214"/>
      <c r="BZ273" s="214"/>
      <c r="CA273" s="214"/>
      <c r="CB273" s="214"/>
      <c r="CC273" s="214"/>
      <c r="CD273" s="214"/>
      <c r="CE273" s="214"/>
      <c r="CF273" s="214"/>
      <c r="CG273" s="214"/>
      <c r="CH273" s="214"/>
      <c r="CI273" s="214"/>
      <c r="CJ273" s="214"/>
      <c r="CK273" s="214"/>
      <c r="CL273" s="214"/>
      <c r="CM273" s="214"/>
      <c r="CN273" s="214"/>
      <c r="CO273" s="214"/>
      <c r="CP273" s="214"/>
      <c r="CQ273" s="214"/>
      <c r="CR273" s="214"/>
      <c r="CS273" s="214"/>
      <c r="CT273" s="214"/>
      <c r="CU273" s="214"/>
      <c r="CV273" s="214"/>
      <c r="CW273" s="214"/>
      <c r="CX273" s="214"/>
      <c r="CY273" s="214"/>
      <c r="CZ273" s="214"/>
      <c r="DA273" s="214"/>
      <c r="DB273" s="214"/>
      <c r="DC273" s="214"/>
      <c r="DD273" s="214"/>
      <c r="DE273" s="214"/>
      <c r="DF273" s="214"/>
      <c r="DG273" s="214"/>
      <c r="DH273" s="214"/>
      <c r="DI273" s="214"/>
      <c r="DJ273" s="214"/>
      <c r="DK273" s="214"/>
      <c r="DL273" s="214"/>
      <c r="DM273" s="214"/>
      <c r="DN273" s="214"/>
      <c r="DO273" s="214"/>
      <c r="DP273" s="214"/>
      <c r="DQ273" s="214"/>
      <c r="DR273" s="214"/>
      <c r="DS273" s="214"/>
      <c r="DT273" s="214"/>
      <c r="DU273" s="214"/>
      <c r="DV273" s="214"/>
      <c r="DW273" s="214"/>
      <c r="DX273" s="214"/>
      <c r="DY273" s="214"/>
      <c r="DZ273" s="214"/>
      <c r="EA273" s="214"/>
      <c r="EB273" s="214"/>
      <c r="EC273" s="214"/>
    </row>
    <row r="274" spans="21:133" s="226" customFormat="1" x14ac:dyDescent="0.15">
      <c r="U274" s="214"/>
      <c r="V274" s="214"/>
      <c r="W274" s="214"/>
      <c r="X274" s="214"/>
      <c r="Y274" s="214"/>
      <c r="Z274" s="214"/>
      <c r="AA274" s="214"/>
      <c r="AB274" s="214"/>
      <c r="AC274" s="214"/>
      <c r="AD274" s="214"/>
      <c r="AE274" s="214"/>
      <c r="AF274" s="214"/>
      <c r="AG274" s="214"/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  <c r="BI274" s="214"/>
      <c r="BJ274" s="214"/>
      <c r="BK274" s="214"/>
      <c r="BL274" s="214"/>
      <c r="BM274" s="214"/>
      <c r="BN274" s="214"/>
      <c r="BO274" s="214"/>
      <c r="BP274" s="214"/>
      <c r="BQ274" s="214"/>
      <c r="BR274" s="214"/>
      <c r="BS274" s="214"/>
      <c r="BT274" s="214"/>
      <c r="BU274" s="214"/>
      <c r="BV274" s="214"/>
      <c r="BW274" s="214"/>
      <c r="BX274" s="214"/>
      <c r="BY274" s="214"/>
      <c r="BZ274" s="214"/>
      <c r="CA274" s="214"/>
      <c r="CB274" s="214"/>
      <c r="CC274" s="214"/>
      <c r="CD274" s="214"/>
      <c r="CE274" s="214"/>
      <c r="CF274" s="214"/>
      <c r="CG274" s="214"/>
      <c r="CH274" s="214"/>
      <c r="CI274" s="214"/>
      <c r="CJ274" s="214"/>
      <c r="CK274" s="214"/>
      <c r="CL274" s="214"/>
      <c r="CM274" s="214"/>
      <c r="CN274" s="214"/>
      <c r="CO274" s="214"/>
      <c r="CP274" s="214"/>
      <c r="CQ274" s="214"/>
      <c r="CR274" s="214"/>
      <c r="CS274" s="214"/>
      <c r="CT274" s="214"/>
      <c r="CU274" s="214"/>
      <c r="CV274" s="214"/>
      <c r="CW274" s="214"/>
      <c r="CX274" s="214"/>
      <c r="CY274" s="214"/>
      <c r="CZ274" s="214"/>
      <c r="DA274" s="214"/>
      <c r="DB274" s="214"/>
      <c r="DC274" s="214"/>
      <c r="DD274" s="214"/>
      <c r="DE274" s="214"/>
      <c r="DF274" s="214"/>
      <c r="DG274" s="214"/>
      <c r="DH274" s="214"/>
      <c r="DI274" s="214"/>
      <c r="DJ274" s="214"/>
      <c r="DK274" s="214"/>
      <c r="DL274" s="214"/>
      <c r="DM274" s="214"/>
      <c r="DN274" s="214"/>
      <c r="DO274" s="214"/>
      <c r="DP274" s="214"/>
      <c r="DQ274" s="214"/>
      <c r="DR274" s="214"/>
      <c r="DS274" s="214"/>
      <c r="DT274" s="214"/>
      <c r="DU274" s="214"/>
      <c r="DV274" s="214"/>
      <c r="DW274" s="214"/>
      <c r="DX274" s="214"/>
      <c r="DY274" s="214"/>
      <c r="DZ274" s="214"/>
      <c r="EA274" s="214"/>
      <c r="EB274" s="214"/>
      <c r="EC274" s="214"/>
    </row>
    <row r="275" spans="21:133" s="226" customFormat="1" x14ac:dyDescent="0.15">
      <c r="U275" s="214"/>
      <c r="V275" s="214"/>
      <c r="W275" s="214"/>
      <c r="X275" s="214"/>
      <c r="Y275" s="214"/>
      <c r="Z275" s="214"/>
      <c r="AA275" s="214"/>
      <c r="AB275" s="214"/>
      <c r="AC275" s="214"/>
      <c r="AD275" s="214"/>
      <c r="AE275" s="214"/>
      <c r="AF275" s="214"/>
      <c r="AG275" s="214"/>
      <c r="AH275" s="214"/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  <c r="BI275" s="214"/>
      <c r="BJ275" s="214"/>
      <c r="BK275" s="214"/>
      <c r="BL275" s="214"/>
      <c r="BM275" s="214"/>
      <c r="BN275" s="214"/>
      <c r="BO275" s="214"/>
      <c r="BP275" s="214"/>
      <c r="BQ275" s="214"/>
      <c r="BR275" s="214"/>
      <c r="BS275" s="214"/>
      <c r="BT275" s="214"/>
      <c r="BU275" s="214"/>
      <c r="BV275" s="214"/>
      <c r="BW275" s="214"/>
      <c r="BX275" s="214"/>
      <c r="BY275" s="214"/>
      <c r="BZ275" s="214"/>
      <c r="CA275" s="214"/>
      <c r="CB275" s="214"/>
      <c r="CC275" s="214"/>
      <c r="CD275" s="214"/>
      <c r="CE275" s="214"/>
      <c r="CF275" s="214"/>
      <c r="CG275" s="214"/>
      <c r="CH275" s="214"/>
      <c r="CI275" s="214"/>
      <c r="CJ275" s="214"/>
      <c r="CK275" s="214"/>
      <c r="CL275" s="214"/>
      <c r="CM275" s="214"/>
      <c r="CN275" s="214"/>
      <c r="CO275" s="214"/>
      <c r="CP275" s="214"/>
      <c r="CQ275" s="214"/>
      <c r="CR275" s="214"/>
      <c r="CS275" s="214"/>
      <c r="CT275" s="214"/>
      <c r="CU275" s="214"/>
      <c r="CV275" s="214"/>
      <c r="CW275" s="214"/>
      <c r="CX275" s="214"/>
      <c r="CY275" s="214"/>
      <c r="CZ275" s="214"/>
      <c r="DA275" s="214"/>
      <c r="DB275" s="214"/>
      <c r="DC275" s="214"/>
      <c r="DD275" s="214"/>
      <c r="DE275" s="214"/>
      <c r="DF275" s="214"/>
      <c r="DG275" s="214"/>
      <c r="DH275" s="214"/>
      <c r="DI275" s="214"/>
      <c r="DJ275" s="214"/>
      <c r="DK275" s="214"/>
      <c r="DL275" s="214"/>
      <c r="DM275" s="214"/>
      <c r="DN275" s="214"/>
      <c r="DO275" s="214"/>
      <c r="DP275" s="214"/>
      <c r="DQ275" s="214"/>
      <c r="DR275" s="214"/>
      <c r="DS275" s="214"/>
      <c r="DT275" s="214"/>
      <c r="DU275" s="214"/>
      <c r="DV275" s="214"/>
      <c r="DW275" s="214"/>
      <c r="DX275" s="214"/>
      <c r="DY275" s="214"/>
      <c r="DZ275" s="214"/>
      <c r="EA275" s="214"/>
      <c r="EB275" s="214"/>
      <c r="EC275" s="214"/>
    </row>
    <row r="276" spans="21:133" s="226" customFormat="1" x14ac:dyDescent="0.15">
      <c r="U276" s="214"/>
      <c r="V276" s="214"/>
      <c r="W276" s="214"/>
      <c r="X276" s="214"/>
      <c r="Y276" s="214"/>
      <c r="Z276" s="214"/>
      <c r="AA276" s="214"/>
      <c r="AB276" s="214"/>
      <c r="AC276" s="214"/>
      <c r="AD276" s="214"/>
      <c r="AE276" s="214"/>
      <c r="AF276" s="214"/>
      <c r="AG276" s="214"/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  <c r="BI276" s="214"/>
      <c r="BJ276" s="214"/>
      <c r="BK276" s="214"/>
      <c r="BL276" s="214"/>
      <c r="BM276" s="214"/>
      <c r="BN276" s="214"/>
      <c r="BO276" s="214"/>
      <c r="BP276" s="214"/>
      <c r="BQ276" s="214"/>
      <c r="BR276" s="214"/>
      <c r="BS276" s="214"/>
      <c r="BT276" s="214"/>
      <c r="BU276" s="214"/>
      <c r="BV276" s="214"/>
      <c r="BW276" s="214"/>
      <c r="BX276" s="214"/>
      <c r="BY276" s="214"/>
      <c r="BZ276" s="214"/>
      <c r="CA276" s="214"/>
      <c r="CB276" s="214"/>
      <c r="CC276" s="214"/>
      <c r="CD276" s="214"/>
      <c r="CE276" s="214"/>
      <c r="CF276" s="214"/>
      <c r="CG276" s="214"/>
      <c r="CH276" s="214"/>
      <c r="CI276" s="214"/>
      <c r="CJ276" s="214"/>
      <c r="CK276" s="214"/>
      <c r="CL276" s="214"/>
      <c r="CM276" s="214"/>
      <c r="CN276" s="214"/>
      <c r="CO276" s="214"/>
      <c r="CP276" s="214"/>
      <c r="CQ276" s="214"/>
      <c r="CR276" s="214"/>
      <c r="CS276" s="214"/>
      <c r="CT276" s="214"/>
      <c r="CU276" s="214"/>
      <c r="CV276" s="214"/>
      <c r="CW276" s="214"/>
      <c r="CX276" s="214"/>
      <c r="CY276" s="214"/>
      <c r="CZ276" s="214"/>
      <c r="DA276" s="214"/>
      <c r="DB276" s="214"/>
      <c r="DC276" s="214"/>
      <c r="DD276" s="214"/>
      <c r="DE276" s="214"/>
      <c r="DF276" s="214"/>
      <c r="DG276" s="214"/>
      <c r="DH276" s="214"/>
      <c r="DI276" s="214"/>
      <c r="DJ276" s="214"/>
      <c r="DK276" s="214"/>
      <c r="DL276" s="214"/>
      <c r="DM276" s="214"/>
      <c r="DN276" s="214"/>
      <c r="DO276" s="214"/>
      <c r="DP276" s="214"/>
      <c r="DQ276" s="214"/>
      <c r="DR276" s="214"/>
      <c r="DS276" s="214"/>
      <c r="DT276" s="214"/>
      <c r="DU276" s="214"/>
      <c r="DV276" s="214"/>
      <c r="DW276" s="214"/>
      <c r="DX276" s="214"/>
      <c r="DY276" s="214"/>
      <c r="DZ276" s="214"/>
      <c r="EA276" s="214"/>
      <c r="EB276" s="214"/>
      <c r="EC276" s="214"/>
    </row>
    <row r="277" spans="21:133" s="226" customFormat="1" x14ac:dyDescent="0.15">
      <c r="U277" s="214"/>
      <c r="V277" s="214"/>
      <c r="W277" s="214"/>
      <c r="X277" s="214"/>
      <c r="Y277" s="214"/>
      <c r="Z277" s="214"/>
      <c r="AA277" s="214"/>
      <c r="AB277" s="214"/>
      <c r="AC277" s="214"/>
      <c r="AD277" s="214"/>
      <c r="AE277" s="214"/>
      <c r="AF277" s="214"/>
      <c r="AG277" s="214"/>
      <c r="AH277" s="214"/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  <c r="BI277" s="214"/>
      <c r="BJ277" s="214"/>
      <c r="BK277" s="214"/>
      <c r="BL277" s="214"/>
      <c r="BM277" s="214"/>
      <c r="BN277" s="214"/>
      <c r="BO277" s="214"/>
      <c r="BP277" s="214"/>
      <c r="BQ277" s="214"/>
      <c r="BR277" s="214"/>
      <c r="BS277" s="214"/>
      <c r="BT277" s="214"/>
      <c r="BU277" s="214"/>
      <c r="BV277" s="214"/>
      <c r="BW277" s="214"/>
      <c r="BX277" s="214"/>
      <c r="BY277" s="214"/>
      <c r="BZ277" s="214"/>
      <c r="CA277" s="214"/>
      <c r="CB277" s="214"/>
      <c r="CC277" s="214"/>
      <c r="CD277" s="214"/>
      <c r="CE277" s="214"/>
      <c r="CF277" s="214"/>
      <c r="CG277" s="214"/>
      <c r="CH277" s="214"/>
      <c r="CI277" s="214"/>
      <c r="CJ277" s="214"/>
      <c r="CK277" s="214"/>
      <c r="CL277" s="214"/>
      <c r="CM277" s="214"/>
      <c r="CN277" s="214"/>
      <c r="CO277" s="214"/>
      <c r="CP277" s="214"/>
      <c r="CQ277" s="214"/>
      <c r="CR277" s="214"/>
      <c r="CS277" s="214"/>
      <c r="CT277" s="214"/>
      <c r="CU277" s="214"/>
      <c r="CV277" s="214"/>
      <c r="CW277" s="214"/>
      <c r="CX277" s="214"/>
      <c r="CY277" s="214"/>
      <c r="CZ277" s="214"/>
      <c r="DA277" s="214"/>
      <c r="DB277" s="214"/>
      <c r="DC277" s="214"/>
      <c r="DD277" s="214"/>
      <c r="DE277" s="214"/>
      <c r="DF277" s="214"/>
      <c r="DG277" s="214"/>
      <c r="DH277" s="214"/>
      <c r="DI277" s="214"/>
      <c r="DJ277" s="214"/>
      <c r="DK277" s="214"/>
      <c r="DL277" s="214"/>
      <c r="DM277" s="214"/>
      <c r="DN277" s="214"/>
      <c r="DO277" s="214"/>
      <c r="DP277" s="214"/>
      <c r="DQ277" s="214"/>
      <c r="DR277" s="214"/>
      <c r="DS277" s="214"/>
      <c r="DT277" s="214"/>
      <c r="DU277" s="214"/>
      <c r="DV277" s="214"/>
      <c r="DW277" s="214"/>
      <c r="DX277" s="214"/>
      <c r="DY277" s="214"/>
      <c r="DZ277" s="214"/>
      <c r="EA277" s="214"/>
      <c r="EB277" s="214"/>
      <c r="EC277" s="214"/>
    </row>
    <row r="278" spans="21:133" s="226" customFormat="1" x14ac:dyDescent="0.15"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4"/>
      <c r="AE278" s="214"/>
      <c r="AF278" s="214"/>
      <c r="AG278" s="214"/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  <c r="BI278" s="214"/>
      <c r="BJ278" s="214"/>
      <c r="BK278" s="214"/>
      <c r="BL278" s="214"/>
      <c r="BM278" s="214"/>
      <c r="BN278" s="214"/>
      <c r="BO278" s="214"/>
      <c r="BP278" s="214"/>
      <c r="BQ278" s="214"/>
      <c r="BR278" s="214"/>
      <c r="BS278" s="214"/>
      <c r="BT278" s="214"/>
      <c r="BU278" s="214"/>
      <c r="BV278" s="214"/>
      <c r="BW278" s="214"/>
      <c r="BX278" s="214"/>
      <c r="BY278" s="214"/>
      <c r="BZ278" s="214"/>
      <c r="CA278" s="214"/>
      <c r="CB278" s="214"/>
      <c r="CC278" s="214"/>
      <c r="CD278" s="214"/>
      <c r="CE278" s="214"/>
      <c r="CF278" s="214"/>
      <c r="CG278" s="214"/>
      <c r="CH278" s="214"/>
      <c r="CI278" s="214"/>
      <c r="CJ278" s="214"/>
      <c r="CK278" s="214"/>
      <c r="CL278" s="214"/>
      <c r="CM278" s="214"/>
      <c r="CN278" s="214"/>
      <c r="CO278" s="214"/>
      <c r="CP278" s="214"/>
      <c r="CQ278" s="214"/>
      <c r="CR278" s="214"/>
      <c r="CS278" s="214"/>
      <c r="CT278" s="214"/>
      <c r="CU278" s="214"/>
      <c r="CV278" s="214"/>
      <c r="CW278" s="214"/>
      <c r="CX278" s="214"/>
      <c r="CY278" s="214"/>
      <c r="CZ278" s="214"/>
      <c r="DA278" s="214"/>
      <c r="DB278" s="214"/>
      <c r="DC278" s="214"/>
      <c r="DD278" s="214"/>
      <c r="DE278" s="214"/>
      <c r="DF278" s="214"/>
      <c r="DG278" s="214"/>
      <c r="DH278" s="214"/>
      <c r="DI278" s="214"/>
      <c r="DJ278" s="214"/>
      <c r="DK278" s="214"/>
      <c r="DL278" s="214"/>
      <c r="DM278" s="214"/>
      <c r="DN278" s="214"/>
      <c r="DO278" s="214"/>
      <c r="DP278" s="214"/>
      <c r="DQ278" s="214"/>
      <c r="DR278" s="214"/>
      <c r="DS278" s="214"/>
      <c r="DT278" s="214"/>
      <c r="DU278" s="214"/>
      <c r="DV278" s="214"/>
      <c r="DW278" s="214"/>
      <c r="DX278" s="214"/>
      <c r="DY278" s="214"/>
      <c r="DZ278" s="214"/>
      <c r="EA278" s="214"/>
      <c r="EB278" s="214"/>
      <c r="EC278" s="214"/>
    </row>
    <row r="279" spans="21:133" s="226" customFormat="1" x14ac:dyDescent="0.15">
      <c r="U279" s="214"/>
      <c r="V279" s="214"/>
      <c r="W279" s="214"/>
      <c r="X279" s="214"/>
      <c r="Y279" s="214"/>
      <c r="Z279" s="214"/>
      <c r="AA279" s="214"/>
      <c r="AB279" s="214"/>
      <c r="AC279" s="214"/>
      <c r="AD279" s="214"/>
      <c r="AE279" s="214"/>
      <c r="AF279" s="214"/>
      <c r="AG279" s="214"/>
      <c r="AH279" s="214"/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  <c r="CM279" s="214"/>
      <c r="CN279" s="214"/>
      <c r="CO279" s="214"/>
      <c r="CP279" s="214"/>
      <c r="CQ279" s="214"/>
      <c r="CR279" s="214"/>
      <c r="CS279" s="214"/>
      <c r="CT279" s="214"/>
      <c r="CU279" s="214"/>
      <c r="CV279" s="214"/>
      <c r="CW279" s="214"/>
      <c r="CX279" s="214"/>
      <c r="CY279" s="214"/>
      <c r="CZ279" s="214"/>
      <c r="DA279" s="214"/>
      <c r="DB279" s="214"/>
      <c r="DC279" s="214"/>
      <c r="DD279" s="214"/>
      <c r="DE279" s="214"/>
      <c r="DF279" s="214"/>
      <c r="DG279" s="214"/>
      <c r="DH279" s="214"/>
      <c r="DI279" s="214"/>
      <c r="DJ279" s="214"/>
      <c r="DK279" s="214"/>
      <c r="DL279" s="214"/>
      <c r="DM279" s="214"/>
      <c r="DN279" s="214"/>
      <c r="DO279" s="214"/>
      <c r="DP279" s="214"/>
      <c r="DQ279" s="214"/>
      <c r="DR279" s="214"/>
      <c r="DS279" s="214"/>
      <c r="DT279" s="214"/>
      <c r="DU279" s="214"/>
      <c r="DV279" s="214"/>
      <c r="DW279" s="214"/>
      <c r="DX279" s="214"/>
      <c r="DY279" s="214"/>
      <c r="DZ279" s="214"/>
      <c r="EA279" s="214"/>
      <c r="EB279" s="214"/>
      <c r="EC279" s="214"/>
    </row>
    <row r="280" spans="21:133" s="226" customFormat="1" x14ac:dyDescent="0.15"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4"/>
      <c r="AE280" s="214"/>
      <c r="AF280" s="214"/>
      <c r="AG280" s="214"/>
      <c r="AH280" s="214"/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  <c r="BI280" s="214"/>
      <c r="BJ280" s="214"/>
      <c r="BK280" s="214"/>
      <c r="BL280" s="214"/>
      <c r="BM280" s="214"/>
      <c r="BN280" s="214"/>
      <c r="BO280" s="214"/>
      <c r="BP280" s="214"/>
      <c r="BQ280" s="214"/>
      <c r="BR280" s="214"/>
      <c r="BS280" s="214"/>
      <c r="BT280" s="214"/>
      <c r="BU280" s="214"/>
      <c r="BV280" s="214"/>
      <c r="BW280" s="214"/>
      <c r="BX280" s="214"/>
      <c r="BY280" s="214"/>
      <c r="BZ280" s="214"/>
      <c r="CA280" s="214"/>
      <c r="CB280" s="214"/>
      <c r="CC280" s="214"/>
      <c r="CD280" s="214"/>
      <c r="CE280" s="214"/>
      <c r="CF280" s="214"/>
      <c r="CG280" s="214"/>
      <c r="CH280" s="214"/>
      <c r="CI280" s="214"/>
      <c r="CJ280" s="214"/>
      <c r="CK280" s="214"/>
      <c r="CL280" s="214"/>
      <c r="CM280" s="214"/>
      <c r="CN280" s="214"/>
      <c r="CO280" s="214"/>
      <c r="CP280" s="214"/>
      <c r="CQ280" s="214"/>
      <c r="CR280" s="214"/>
      <c r="CS280" s="214"/>
      <c r="CT280" s="214"/>
      <c r="CU280" s="214"/>
      <c r="CV280" s="214"/>
      <c r="CW280" s="214"/>
      <c r="CX280" s="214"/>
      <c r="CY280" s="214"/>
      <c r="CZ280" s="214"/>
      <c r="DA280" s="214"/>
      <c r="DB280" s="214"/>
      <c r="DC280" s="214"/>
      <c r="DD280" s="214"/>
      <c r="DE280" s="214"/>
      <c r="DF280" s="214"/>
      <c r="DG280" s="214"/>
      <c r="DH280" s="214"/>
      <c r="DI280" s="214"/>
      <c r="DJ280" s="214"/>
      <c r="DK280" s="214"/>
      <c r="DL280" s="214"/>
      <c r="DM280" s="214"/>
      <c r="DN280" s="214"/>
      <c r="DO280" s="214"/>
      <c r="DP280" s="214"/>
      <c r="DQ280" s="214"/>
      <c r="DR280" s="214"/>
      <c r="DS280" s="214"/>
      <c r="DT280" s="214"/>
      <c r="DU280" s="214"/>
      <c r="DV280" s="214"/>
      <c r="DW280" s="214"/>
      <c r="DX280" s="214"/>
      <c r="DY280" s="214"/>
      <c r="DZ280" s="214"/>
      <c r="EA280" s="214"/>
      <c r="EB280" s="214"/>
      <c r="EC280" s="214"/>
    </row>
    <row r="281" spans="21:133" s="226" customFormat="1" x14ac:dyDescent="0.15">
      <c r="U281" s="214"/>
      <c r="V281" s="214"/>
      <c r="W281" s="214"/>
      <c r="X281" s="214"/>
      <c r="Y281" s="214"/>
      <c r="Z281" s="214"/>
      <c r="AA281" s="214"/>
      <c r="AB281" s="214"/>
      <c r="AC281" s="214"/>
      <c r="AD281" s="214"/>
      <c r="AE281" s="214"/>
      <c r="AF281" s="214"/>
      <c r="AG281" s="214"/>
      <c r="AH281" s="214"/>
      <c r="AI281" s="214"/>
      <c r="AJ281" s="214"/>
      <c r="AK281" s="214"/>
      <c r="AL281" s="214"/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  <c r="BI281" s="214"/>
      <c r="BJ281" s="214"/>
      <c r="BK281" s="214"/>
      <c r="BL281" s="214"/>
      <c r="BM281" s="214"/>
      <c r="BN281" s="214"/>
      <c r="BO281" s="214"/>
      <c r="BP281" s="214"/>
      <c r="BQ281" s="214"/>
      <c r="BR281" s="214"/>
      <c r="BS281" s="214"/>
      <c r="BT281" s="214"/>
      <c r="BU281" s="214"/>
      <c r="BV281" s="214"/>
      <c r="BW281" s="214"/>
      <c r="BX281" s="214"/>
      <c r="BY281" s="214"/>
      <c r="BZ281" s="214"/>
      <c r="CA281" s="214"/>
      <c r="CB281" s="214"/>
      <c r="CC281" s="214"/>
      <c r="CD281" s="214"/>
      <c r="CE281" s="214"/>
      <c r="CF281" s="214"/>
      <c r="CG281" s="214"/>
      <c r="CH281" s="214"/>
      <c r="CI281" s="214"/>
      <c r="CJ281" s="214"/>
      <c r="CK281" s="214"/>
      <c r="CL281" s="214"/>
      <c r="CM281" s="214"/>
      <c r="CN281" s="214"/>
      <c r="CO281" s="214"/>
      <c r="CP281" s="214"/>
      <c r="CQ281" s="214"/>
      <c r="CR281" s="214"/>
      <c r="CS281" s="214"/>
      <c r="CT281" s="214"/>
      <c r="CU281" s="214"/>
      <c r="CV281" s="214"/>
      <c r="CW281" s="214"/>
      <c r="CX281" s="214"/>
      <c r="CY281" s="214"/>
      <c r="CZ281" s="214"/>
      <c r="DA281" s="214"/>
      <c r="DB281" s="214"/>
      <c r="DC281" s="214"/>
      <c r="DD281" s="214"/>
      <c r="DE281" s="214"/>
      <c r="DF281" s="214"/>
      <c r="DG281" s="214"/>
      <c r="DH281" s="214"/>
      <c r="DI281" s="214"/>
      <c r="DJ281" s="214"/>
      <c r="DK281" s="214"/>
      <c r="DL281" s="214"/>
      <c r="DM281" s="214"/>
      <c r="DN281" s="214"/>
      <c r="DO281" s="214"/>
      <c r="DP281" s="214"/>
      <c r="DQ281" s="214"/>
      <c r="DR281" s="214"/>
      <c r="DS281" s="214"/>
      <c r="DT281" s="214"/>
      <c r="DU281" s="214"/>
      <c r="DV281" s="214"/>
      <c r="DW281" s="214"/>
      <c r="DX281" s="214"/>
      <c r="DY281" s="214"/>
      <c r="DZ281" s="214"/>
      <c r="EA281" s="214"/>
      <c r="EB281" s="214"/>
      <c r="EC281" s="214"/>
    </row>
    <row r="282" spans="21:133" s="226" customFormat="1" x14ac:dyDescent="0.15">
      <c r="U282" s="214"/>
      <c r="V282" s="214"/>
      <c r="W282" s="214"/>
      <c r="X282" s="214"/>
      <c r="Y282" s="214"/>
      <c r="Z282" s="214"/>
      <c r="AA282" s="214"/>
      <c r="AB282" s="214"/>
      <c r="AC282" s="214"/>
      <c r="AD282" s="214"/>
      <c r="AE282" s="214"/>
      <c r="AF282" s="214"/>
      <c r="AG282" s="214"/>
      <c r="AH282" s="214"/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  <c r="BI282" s="214"/>
      <c r="BJ282" s="214"/>
      <c r="BK282" s="214"/>
      <c r="BL282" s="214"/>
      <c r="BM282" s="214"/>
      <c r="BN282" s="214"/>
      <c r="BO282" s="214"/>
      <c r="BP282" s="214"/>
      <c r="BQ282" s="214"/>
      <c r="BR282" s="214"/>
      <c r="BS282" s="214"/>
      <c r="BT282" s="214"/>
      <c r="BU282" s="214"/>
      <c r="BV282" s="214"/>
      <c r="BW282" s="214"/>
      <c r="BX282" s="214"/>
      <c r="BY282" s="214"/>
      <c r="BZ282" s="214"/>
      <c r="CA282" s="214"/>
      <c r="CB282" s="214"/>
      <c r="CC282" s="214"/>
      <c r="CD282" s="214"/>
      <c r="CE282" s="214"/>
      <c r="CF282" s="214"/>
      <c r="CG282" s="214"/>
      <c r="CH282" s="214"/>
      <c r="CI282" s="214"/>
      <c r="CJ282" s="214"/>
      <c r="CK282" s="214"/>
      <c r="CL282" s="214"/>
      <c r="CM282" s="214"/>
      <c r="CN282" s="214"/>
      <c r="CO282" s="214"/>
      <c r="CP282" s="214"/>
      <c r="CQ282" s="214"/>
      <c r="CR282" s="214"/>
      <c r="CS282" s="214"/>
      <c r="CT282" s="214"/>
      <c r="CU282" s="214"/>
      <c r="CV282" s="214"/>
      <c r="CW282" s="214"/>
      <c r="CX282" s="214"/>
      <c r="CY282" s="214"/>
      <c r="CZ282" s="214"/>
      <c r="DA282" s="214"/>
      <c r="DB282" s="214"/>
      <c r="DC282" s="214"/>
      <c r="DD282" s="214"/>
      <c r="DE282" s="214"/>
      <c r="DF282" s="214"/>
      <c r="DG282" s="214"/>
      <c r="DH282" s="214"/>
      <c r="DI282" s="214"/>
      <c r="DJ282" s="214"/>
      <c r="DK282" s="214"/>
      <c r="DL282" s="214"/>
      <c r="DM282" s="214"/>
      <c r="DN282" s="214"/>
      <c r="DO282" s="214"/>
      <c r="DP282" s="214"/>
      <c r="DQ282" s="214"/>
      <c r="DR282" s="214"/>
      <c r="DS282" s="214"/>
      <c r="DT282" s="214"/>
      <c r="DU282" s="214"/>
      <c r="DV282" s="214"/>
      <c r="DW282" s="214"/>
      <c r="DX282" s="214"/>
      <c r="DY282" s="214"/>
      <c r="DZ282" s="214"/>
      <c r="EA282" s="214"/>
      <c r="EB282" s="214"/>
      <c r="EC282" s="214"/>
    </row>
    <row r="283" spans="21:133" s="226" customFormat="1" x14ac:dyDescent="0.15">
      <c r="U283" s="214"/>
      <c r="V283" s="214"/>
      <c r="W283" s="214"/>
      <c r="X283" s="214"/>
      <c r="Y283" s="214"/>
      <c r="Z283" s="214"/>
      <c r="AA283" s="214"/>
      <c r="AB283" s="214"/>
      <c r="AC283" s="214"/>
      <c r="AD283" s="214"/>
      <c r="AE283" s="214"/>
      <c r="AF283" s="214"/>
      <c r="AG283" s="214"/>
      <c r="AH283" s="214"/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  <c r="BI283" s="214"/>
      <c r="BJ283" s="214"/>
      <c r="BK283" s="214"/>
      <c r="BL283" s="214"/>
      <c r="BM283" s="214"/>
      <c r="BN283" s="214"/>
      <c r="BO283" s="214"/>
      <c r="BP283" s="214"/>
      <c r="BQ283" s="214"/>
      <c r="BR283" s="214"/>
      <c r="BS283" s="214"/>
      <c r="BT283" s="214"/>
      <c r="BU283" s="214"/>
      <c r="BV283" s="214"/>
      <c r="BW283" s="214"/>
      <c r="BX283" s="214"/>
      <c r="BY283" s="214"/>
      <c r="BZ283" s="214"/>
      <c r="CA283" s="214"/>
      <c r="CB283" s="214"/>
      <c r="CC283" s="214"/>
      <c r="CD283" s="214"/>
      <c r="CE283" s="214"/>
      <c r="CF283" s="214"/>
      <c r="CG283" s="214"/>
      <c r="CH283" s="214"/>
      <c r="CI283" s="214"/>
      <c r="CJ283" s="214"/>
      <c r="CK283" s="214"/>
      <c r="CL283" s="214"/>
      <c r="CM283" s="214"/>
      <c r="CN283" s="214"/>
      <c r="CO283" s="214"/>
      <c r="CP283" s="214"/>
      <c r="CQ283" s="214"/>
      <c r="CR283" s="214"/>
      <c r="CS283" s="214"/>
      <c r="CT283" s="214"/>
      <c r="CU283" s="214"/>
      <c r="CV283" s="214"/>
      <c r="CW283" s="214"/>
      <c r="CX283" s="214"/>
      <c r="CY283" s="214"/>
      <c r="CZ283" s="214"/>
      <c r="DA283" s="214"/>
      <c r="DB283" s="214"/>
      <c r="DC283" s="214"/>
      <c r="DD283" s="214"/>
      <c r="DE283" s="214"/>
      <c r="DF283" s="214"/>
      <c r="DG283" s="214"/>
      <c r="DH283" s="214"/>
      <c r="DI283" s="214"/>
      <c r="DJ283" s="214"/>
      <c r="DK283" s="214"/>
      <c r="DL283" s="214"/>
      <c r="DM283" s="214"/>
      <c r="DN283" s="214"/>
      <c r="DO283" s="214"/>
      <c r="DP283" s="214"/>
      <c r="DQ283" s="214"/>
      <c r="DR283" s="214"/>
      <c r="DS283" s="214"/>
      <c r="DT283" s="214"/>
      <c r="DU283" s="214"/>
      <c r="DV283" s="214"/>
      <c r="DW283" s="214"/>
      <c r="DX283" s="214"/>
      <c r="DY283" s="214"/>
      <c r="DZ283" s="214"/>
      <c r="EA283" s="214"/>
      <c r="EB283" s="214"/>
      <c r="EC283" s="214"/>
    </row>
    <row r="284" spans="21:133" s="226" customFormat="1" x14ac:dyDescent="0.15">
      <c r="U284" s="214"/>
      <c r="V284" s="214"/>
      <c r="W284" s="214"/>
      <c r="X284" s="214"/>
      <c r="Y284" s="214"/>
      <c r="Z284" s="214"/>
      <c r="AA284" s="214"/>
      <c r="AB284" s="214"/>
      <c r="AC284" s="214"/>
      <c r="AD284" s="214"/>
      <c r="AE284" s="214"/>
      <c r="AF284" s="214"/>
      <c r="AG284" s="214"/>
      <c r="AH284" s="214"/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  <c r="BI284" s="214"/>
      <c r="BJ284" s="214"/>
      <c r="BK284" s="214"/>
      <c r="BL284" s="214"/>
      <c r="BM284" s="214"/>
      <c r="BN284" s="214"/>
      <c r="BO284" s="214"/>
      <c r="BP284" s="214"/>
      <c r="BQ284" s="214"/>
      <c r="BR284" s="214"/>
      <c r="BS284" s="214"/>
      <c r="BT284" s="214"/>
      <c r="BU284" s="214"/>
      <c r="BV284" s="214"/>
      <c r="BW284" s="214"/>
      <c r="BX284" s="214"/>
      <c r="BY284" s="214"/>
      <c r="BZ284" s="214"/>
      <c r="CA284" s="214"/>
      <c r="CB284" s="214"/>
      <c r="CC284" s="214"/>
      <c r="CD284" s="214"/>
      <c r="CE284" s="214"/>
      <c r="CF284" s="214"/>
      <c r="CG284" s="214"/>
      <c r="CH284" s="214"/>
      <c r="CI284" s="214"/>
      <c r="CJ284" s="214"/>
      <c r="CK284" s="214"/>
      <c r="CL284" s="214"/>
      <c r="CM284" s="214"/>
      <c r="CN284" s="214"/>
      <c r="CO284" s="214"/>
      <c r="CP284" s="214"/>
      <c r="CQ284" s="214"/>
      <c r="CR284" s="214"/>
      <c r="CS284" s="214"/>
      <c r="CT284" s="214"/>
      <c r="CU284" s="214"/>
      <c r="CV284" s="214"/>
      <c r="CW284" s="214"/>
      <c r="CX284" s="214"/>
      <c r="CY284" s="214"/>
      <c r="CZ284" s="214"/>
      <c r="DA284" s="214"/>
      <c r="DB284" s="214"/>
      <c r="DC284" s="214"/>
      <c r="DD284" s="214"/>
      <c r="DE284" s="214"/>
      <c r="DF284" s="214"/>
      <c r="DG284" s="214"/>
      <c r="DH284" s="214"/>
      <c r="DI284" s="214"/>
      <c r="DJ284" s="214"/>
      <c r="DK284" s="214"/>
      <c r="DL284" s="214"/>
      <c r="DM284" s="214"/>
      <c r="DN284" s="214"/>
      <c r="DO284" s="214"/>
      <c r="DP284" s="214"/>
      <c r="DQ284" s="214"/>
      <c r="DR284" s="214"/>
      <c r="DS284" s="214"/>
      <c r="DT284" s="214"/>
      <c r="DU284" s="214"/>
      <c r="DV284" s="214"/>
      <c r="DW284" s="214"/>
      <c r="DX284" s="214"/>
      <c r="DY284" s="214"/>
      <c r="DZ284" s="214"/>
      <c r="EA284" s="214"/>
      <c r="EB284" s="214"/>
      <c r="EC284" s="214"/>
    </row>
    <row r="285" spans="21:133" s="226" customFormat="1" x14ac:dyDescent="0.15">
      <c r="U285" s="214"/>
      <c r="V285" s="214"/>
      <c r="W285" s="214"/>
      <c r="X285" s="214"/>
      <c r="Y285" s="214"/>
      <c r="Z285" s="214"/>
      <c r="AA285" s="214"/>
      <c r="AB285" s="214"/>
      <c r="AC285" s="214"/>
      <c r="AD285" s="214"/>
      <c r="AE285" s="214"/>
      <c r="AF285" s="214"/>
      <c r="AG285" s="214"/>
      <c r="AH285" s="214"/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  <c r="BI285" s="214"/>
      <c r="BJ285" s="214"/>
      <c r="BK285" s="214"/>
      <c r="BL285" s="214"/>
      <c r="BM285" s="214"/>
      <c r="BN285" s="214"/>
      <c r="BO285" s="214"/>
      <c r="BP285" s="214"/>
      <c r="BQ285" s="214"/>
      <c r="BR285" s="214"/>
      <c r="BS285" s="214"/>
      <c r="BT285" s="214"/>
      <c r="BU285" s="214"/>
      <c r="BV285" s="214"/>
      <c r="BW285" s="214"/>
      <c r="BX285" s="214"/>
      <c r="BY285" s="214"/>
      <c r="BZ285" s="214"/>
      <c r="CA285" s="214"/>
      <c r="CB285" s="214"/>
      <c r="CC285" s="214"/>
      <c r="CD285" s="214"/>
      <c r="CE285" s="214"/>
      <c r="CF285" s="214"/>
      <c r="CG285" s="214"/>
      <c r="CH285" s="214"/>
      <c r="CI285" s="214"/>
      <c r="CJ285" s="214"/>
      <c r="CK285" s="214"/>
      <c r="CL285" s="214"/>
      <c r="CM285" s="214"/>
      <c r="CN285" s="214"/>
      <c r="CO285" s="214"/>
      <c r="CP285" s="214"/>
      <c r="CQ285" s="214"/>
      <c r="CR285" s="214"/>
      <c r="CS285" s="214"/>
      <c r="CT285" s="214"/>
      <c r="CU285" s="214"/>
      <c r="CV285" s="214"/>
      <c r="CW285" s="214"/>
      <c r="CX285" s="214"/>
      <c r="CY285" s="214"/>
      <c r="CZ285" s="214"/>
      <c r="DA285" s="214"/>
      <c r="DB285" s="214"/>
      <c r="DC285" s="214"/>
      <c r="DD285" s="214"/>
      <c r="DE285" s="214"/>
      <c r="DF285" s="214"/>
      <c r="DG285" s="214"/>
      <c r="DH285" s="214"/>
      <c r="DI285" s="214"/>
      <c r="DJ285" s="214"/>
      <c r="DK285" s="214"/>
      <c r="DL285" s="214"/>
      <c r="DM285" s="214"/>
      <c r="DN285" s="214"/>
      <c r="DO285" s="214"/>
      <c r="DP285" s="214"/>
      <c r="DQ285" s="214"/>
      <c r="DR285" s="214"/>
      <c r="DS285" s="214"/>
      <c r="DT285" s="214"/>
      <c r="DU285" s="214"/>
      <c r="DV285" s="214"/>
      <c r="DW285" s="214"/>
      <c r="DX285" s="214"/>
      <c r="DY285" s="214"/>
      <c r="DZ285" s="214"/>
      <c r="EA285" s="214"/>
      <c r="EB285" s="214"/>
      <c r="EC285" s="214"/>
    </row>
    <row r="286" spans="21:133" s="226" customFormat="1" x14ac:dyDescent="0.15"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214"/>
      <c r="BN286" s="214"/>
      <c r="BO286" s="214"/>
      <c r="BP286" s="214"/>
      <c r="BQ286" s="214"/>
      <c r="BR286" s="214"/>
      <c r="BS286" s="214"/>
      <c r="BT286" s="214"/>
      <c r="BU286" s="214"/>
      <c r="BV286" s="214"/>
      <c r="BW286" s="214"/>
      <c r="BX286" s="214"/>
      <c r="BY286" s="214"/>
      <c r="BZ286" s="214"/>
      <c r="CA286" s="214"/>
      <c r="CB286" s="214"/>
      <c r="CC286" s="214"/>
      <c r="CD286" s="214"/>
      <c r="CE286" s="214"/>
      <c r="CF286" s="214"/>
      <c r="CG286" s="214"/>
      <c r="CH286" s="214"/>
      <c r="CI286" s="214"/>
      <c r="CJ286" s="214"/>
      <c r="CK286" s="214"/>
      <c r="CL286" s="214"/>
      <c r="CM286" s="214"/>
      <c r="CN286" s="214"/>
      <c r="CO286" s="214"/>
      <c r="CP286" s="214"/>
      <c r="CQ286" s="214"/>
      <c r="CR286" s="214"/>
      <c r="CS286" s="214"/>
      <c r="CT286" s="214"/>
      <c r="CU286" s="214"/>
      <c r="CV286" s="214"/>
      <c r="CW286" s="214"/>
      <c r="CX286" s="214"/>
      <c r="CY286" s="214"/>
      <c r="CZ286" s="214"/>
      <c r="DA286" s="214"/>
      <c r="DB286" s="214"/>
      <c r="DC286" s="214"/>
      <c r="DD286" s="214"/>
      <c r="DE286" s="214"/>
      <c r="DF286" s="214"/>
      <c r="DG286" s="214"/>
      <c r="DH286" s="214"/>
      <c r="DI286" s="214"/>
      <c r="DJ286" s="214"/>
      <c r="DK286" s="214"/>
      <c r="DL286" s="214"/>
      <c r="DM286" s="214"/>
      <c r="DN286" s="214"/>
      <c r="DO286" s="214"/>
      <c r="DP286" s="214"/>
      <c r="DQ286" s="214"/>
      <c r="DR286" s="214"/>
      <c r="DS286" s="214"/>
      <c r="DT286" s="214"/>
      <c r="DU286" s="214"/>
      <c r="DV286" s="214"/>
      <c r="DW286" s="214"/>
      <c r="DX286" s="214"/>
      <c r="DY286" s="214"/>
      <c r="DZ286" s="214"/>
      <c r="EA286" s="214"/>
      <c r="EB286" s="214"/>
      <c r="EC286" s="214"/>
    </row>
    <row r="287" spans="21:133" s="226" customFormat="1" x14ac:dyDescent="0.15">
      <c r="U287" s="214"/>
      <c r="V287" s="214"/>
      <c r="W287" s="214"/>
      <c r="X287" s="214"/>
      <c r="Y287" s="214"/>
      <c r="Z287" s="214"/>
      <c r="AA287" s="214"/>
      <c r="AB287" s="214"/>
      <c r="AC287" s="214"/>
      <c r="AD287" s="214"/>
      <c r="AE287" s="214"/>
      <c r="AF287" s="214"/>
      <c r="AG287" s="214"/>
      <c r="AH287" s="214"/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  <c r="BI287" s="214"/>
      <c r="BJ287" s="214"/>
      <c r="BK287" s="214"/>
      <c r="BL287" s="214"/>
      <c r="BM287" s="214"/>
      <c r="BN287" s="214"/>
      <c r="BO287" s="214"/>
      <c r="BP287" s="214"/>
      <c r="BQ287" s="214"/>
      <c r="BR287" s="214"/>
      <c r="BS287" s="214"/>
      <c r="BT287" s="214"/>
      <c r="BU287" s="214"/>
      <c r="BV287" s="214"/>
      <c r="BW287" s="214"/>
      <c r="BX287" s="214"/>
      <c r="BY287" s="214"/>
      <c r="BZ287" s="214"/>
      <c r="CA287" s="214"/>
      <c r="CB287" s="214"/>
      <c r="CC287" s="214"/>
      <c r="CD287" s="214"/>
      <c r="CE287" s="214"/>
      <c r="CF287" s="214"/>
      <c r="CG287" s="214"/>
      <c r="CH287" s="214"/>
      <c r="CI287" s="214"/>
      <c r="CJ287" s="214"/>
      <c r="CK287" s="214"/>
      <c r="CL287" s="214"/>
      <c r="CM287" s="214"/>
      <c r="CN287" s="214"/>
      <c r="CO287" s="214"/>
      <c r="CP287" s="214"/>
      <c r="CQ287" s="214"/>
      <c r="CR287" s="214"/>
      <c r="CS287" s="214"/>
      <c r="CT287" s="214"/>
      <c r="CU287" s="214"/>
      <c r="CV287" s="214"/>
      <c r="CW287" s="214"/>
      <c r="CX287" s="214"/>
      <c r="CY287" s="214"/>
      <c r="CZ287" s="214"/>
      <c r="DA287" s="214"/>
      <c r="DB287" s="214"/>
      <c r="DC287" s="214"/>
      <c r="DD287" s="214"/>
      <c r="DE287" s="214"/>
      <c r="DF287" s="214"/>
      <c r="DG287" s="214"/>
      <c r="DH287" s="214"/>
      <c r="DI287" s="214"/>
      <c r="DJ287" s="214"/>
      <c r="DK287" s="214"/>
      <c r="DL287" s="214"/>
      <c r="DM287" s="214"/>
      <c r="DN287" s="214"/>
      <c r="DO287" s="214"/>
      <c r="DP287" s="214"/>
      <c r="DQ287" s="214"/>
      <c r="DR287" s="214"/>
      <c r="DS287" s="214"/>
      <c r="DT287" s="214"/>
      <c r="DU287" s="214"/>
      <c r="DV287" s="214"/>
      <c r="DW287" s="214"/>
      <c r="DX287" s="214"/>
      <c r="DY287" s="214"/>
      <c r="DZ287" s="214"/>
      <c r="EA287" s="214"/>
      <c r="EB287" s="214"/>
      <c r="EC287" s="214"/>
    </row>
    <row r="288" spans="21:133" s="226" customFormat="1" x14ac:dyDescent="0.15"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14"/>
      <c r="CN288" s="214"/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14"/>
      <c r="DI288" s="214"/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</row>
    <row r="289" spans="21:133" s="226" customFormat="1" x14ac:dyDescent="0.15">
      <c r="U289" s="214"/>
      <c r="V289" s="214"/>
      <c r="W289" s="214"/>
      <c r="X289" s="214"/>
      <c r="Y289" s="214"/>
      <c r="Z289" s="214"/>
      <c r="AA289" s="214"/>
      <c r="AB289" s="214"/>
      <c r="AC289" s="214"/>
      <c r="AD289" s="214"/>
      <c r="AE289" s="214"/>
      <c r="AF289" s="214"/>
      <c r="AG289" s="214"/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  <c r="BL289" s="214"/>
      <c r="BM289" s="214"/>
      <c r="BN289" s="214"/>
      <c r="BO289" s="214"/>
      <c r="BP289" s="214"/>
      <c r="BQ289" s="214"/>
      <c r="BR289" s="214"/>
      <c r="BS289" s="214"/>
      <c r="BT289" s="214"/>
      <c r="BU289" s="214"/>
      <c r="BV289" s="214"/>
      <c r="BW289" s="214"/>
      <c r="BX289" s="214"/>
      <c r="BY289" s="214"/>
      <c r="BZ289" s="214"/>
      <c r="CA289" s="214"/>
      <c r="CB289" s="214"/>
      <c r="CC289" s="214"/>
      <c r="CD289" s="214"/>
      <c r="CE289" s="214"/>
      <c r="CF289" s="214"/>
      <c r="CG289" s="214"/>
      <c r="CH289" s="214"/>
      <c r="CI289" s="214"/>
      <c r="CJ289" s="214"/>
      <c r="CK289" s="214"/>
      <c r="CL289" s="214"/>
      <c r="CM289" s="214"/>
      <c r="CN289" s="214"/>
      <c r="CO289" s="214"/>
      <c r="CP289" s="214"/>
      <c r="CQ289" s="214"/>
      <c r="CR289" s="214"/>
      <c r="CS289" s="214"/>
      <c r="CT289" s="214"/>
      <c r="CU289" s="214"/>
      <c r="CV289" s="214"/>
      <c r="CW289" s="214"/>
      <c r="CX289" s="214"/>
      <c r="CY289" s="214"/>
      <c r="CZ289" s="214"/>
      <c r="DA289" s="214"/>
      <c r="DB289" s="214"/>
      <c r="DC289" s="214"/>
      <c r="DD289" s="214"/>
      <c r="DE289" s="214"/>
      <c r="DF289" s="214"/>
      <c r="DG289" s="214"/>
      <c r="DH289" s="214"/>
      <c r="DI289" s="214"/>
      <c r="DJ289" s="214"/>
      <c r="DK289" s="214"/>
      <c r="DL289" s="214"/>
      <c r="DM289" s="214"/>
      <c r="DN289" s="214"/>
      <c r="DO289" s="214"/>
      <c r="DP289" s="214"/>
      <c r="DQ289" s="214"/>
      <c r="DR289" s="214"/>
      <c r="DS289" s="214"/>
      <c r="DT289" s="214"/>
      <c r="DU289" s="214"/>
      <c r="DV289" s="214"/>
      <c r="DW289" s="214"/>
      <c r="DX289" s="214"/>
      <c r="DY289" s="214"/>
      <c r="DZ289" s="214"/>
      <c r="EA289" s="214"/>
      <c r="EB289" s="214"/>
      <c r="EC289" s="214"/>
    </row>
    <row r="290" spans="21:133" s="226" customFormat="1" x14ac:dyDescent="0.15"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  <c r="BI290" s="214"/>
      <c r="BJ290" s="214"/>
      <c r="BK290" s="214"/>
      <c r="BL290" s="214"/>
      <c r="BM290" s="214"/>
      <c r="BN290" s="214"/>
      <c r="BO290" s="214"/>
      <c r="BP290" s="214"/>
      <c r="BQ290" s="214"/>
      <c r="BR290" s="214"/>
      <c r="BS290" s="214"/>
      <c r="BT290" s="214"/>
      <c r="BU290" s="214"/>
      <c r="BV290" s="214"/>
      <c r="BW290" s="214"/>
      <c r="BX290" s="214"/>
      <c r="BY290" s="214"/>
      <c r="BZ290" s="214"/>
      <c r="CA290" s="214"/>
      <c r="CB290" s="214"/>
      <c r="CC290" s="214"/>
      <c r="CD290" s="214"/>
      <c r="CE290" s="214"/>
      <c r="CF290" s="214"/>
      <c r="CG290" s="214"/>
      <c r="CH290" s="214"/>
      <c r="CI290" s="214"/>
      <c r="CJ290" s="214"/>
      <c r="CK290" s="214"/>
      <c r="CL290" s="214"/>
      <c r="CM290" s="214"/>
      <c r="CN290" s="214"/>
      <c r="CO290" s="214"/>
      <c r="CP290" s="214"/>
      <c r="CQ290" s="214"/>
      <c r="CR290" s="214"/>
      <c r="CS290" s="214"/>
      <c r="CT290" s="214"/>
      <c r="CU290" s="214"/>
      <c r="CV290" s="214"/>
      <c r="CW290" s="214"/>
      <c r="CX290" s="214"/>
      <c r="CY290" s="214"/>
      <c r="CZ290" s="214"/>
      <c r="DA290" s="214"/>
      <c r="DB290" s="214"/>
      <c r="DC290" s="214"/>
      <c r="DD290" s="214"/>
      <c r="DE290" s="214"/>
      <c r="DF290" s="214"/>
      <c r="DG290" s="214"/>
      <c r="DH290" s="214"/>
      <c r="DI290" s="214"/>
      <c r="DJ290" s="214"/>
      <c r="DK290" s="214"/>
      <c r="DL290" s="214"/>
      <c r="DM290" s="214"/>
      <c r="DN290" s="214"/>
      <c r="DO290" s="214"/>
      <c r="DP290" s="214"/>
      <c r="DQ290" s="214"/>
      <c r="DR290" s="214"/>
      <c r="DS290" s="214"/>
      <c r="DT290" s="214"/>
      <c r="DU290" s="214"/>
      <c r="DV290" s="214"/>
      <c r="DW290" s="214"/>
      <c r="DX290" s="214"/>
      <c r="DY290" s="214"/>
      <c r="DZ290" s="214"/>
      <c r="EA290" s="214"/>
      <c r="EB290" s="214"/>
      <c r="EC290" s="214"/>
    </row>
    <row r="291" spans="21:133" s="226" customFormat="1" x14ac:dyDescent="0.15"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  <c r="BI291" s="214"/>
      <c r="BJ291" s="214"/>
      <c r="BK291" s="214"/>
      <c r="BL291" s="214"/>
      <c r="BM291" s="214"/>
      <c r="BN291" s="214"/>
      <c r="BO291" s="214"/>
      <c r="BP291" s="214"/>
      <c r="BQ291" s="214"/>
      <c r="BR291" s="214"/>
      <c r="BS291" s="214"/>
      <c r="BT291" s="214"/>
      <c r="BU291" s="214"/>
      <c r="BV291" s="214"/>
      <c r="BW291" s="214"/>
      <c r="BX291" s="214"/>
      <c r="BY291" s="214"/>
      <c r="BZ291" s="214"/>
      <c r="CA291" s="214"/>
      <c r="CB291" s="214"/>
      <c r="CC291" s="214"/>
      <c r="CD291" s="214"/>
      <c r="CE291" s="214"/>
      <c r="CF291" s="214"/>
      <c r="CG291" s="214"/>
      <c r="CH291" s="214"/>
      <c r="CI291" s="214"/>
      <c r="CJ291" s="214"/>
      <c r="CK291" s="214"/>
      <c r="CL291" s="214"/>
      <c r="CM291" s="214"/>
      <c r="CN291" s="214"/>
      <c r="CO291" s="214"/>
      <c r="CP291" s="214"/>
      <c r="CQ291" s="214"/>
      <c r="CR291" s="214"/>
      <c r="CS291" s="214"/>
      <c r="CT291" s="214"/>
      <c r="CU291" s="214"/>
      <c r="CV291" s="214"/>
      <c r="CW291" s="214"/>
      <c r="CX291" s="214"/>
      <c r="CY291" s="214"/>
      <c r="CZ291" s="214"/>
      <c r="DA291" s="214"/>
      <c r="DB291" s="214"/>
      <c r="DC291" s="214"/>
      <c r="DD291" s="214"/>
      <c r="DE291" s="214"/>
      <c r="DF291" s="214"/>
      <c r="DG291" s="214"/>
      <c r="DH291" s="214"/>
      <c r="DI291" s="214"/>
      <c r="DJ291" s="214"/>
      <c r="DK291" s="214"/>
      <c r="DL291" s="214"/>
      <c r="DM291" s="214"/>
      <c r="DN291" s="214"/>
      <c r="DO291" s="214"/>
      <c r="DP291" s="214"/>
      <c r="DQ291" s="214"/>
      <c r="DR291" s="214"/>
      <c r="DS291" s="214"/>
      <c r="DT291" s="214"/>
      <c r="DU291" s="214"/>
      <c r="DV291" s="214"/>
      <c r="DW291" s="214"/>
      <c r="DX291" s="214"/>
      <c r="DY291" s="214"/>
      <c r="DZ291" s="214"/>
      <c r="EA291" s="214"/>
      <c r="EB291" s="214"/>
      <c r="EC291" s="214"/>
    </row>
    <row r="292" spans="21:133" s="226" customFormat="1" x14ac:dyDescent="0.15">
      <c r="U292" s="214"/>
      <c r="V292" s="214"/>
      <c r="W292" s="214"/>
      <c r="X292" s="214"/>
      <c r="Y292" s="214"/>
      <c r="Z292" s="214"/>
      <c r="AA292" s="214"/>
      <c r="AB292" s="214"/>
      <c r="AC292" s="214"/>
      <c r="AD292" s="214"/>
      <c r="AE292" s="214"/>
      <c r="AF292" s="214"/>
      <c r="AG292" s="214"/>
      <c r="AH292" s="214"/>
      <c r="AI292" s="214"/>
      <c r="AJ292" s="214"/>
      <c r="AK292" s="214"/>
      <c r="AL292" s="214"/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  <c r="BI292" s="214"/>
      <c r="BJ292" s="214"/>
      <c r="BK292" s="214"/>
      <c r="BL292" s="214"/>
      <c r="BM292" s="214"/>
      <c r="BN292" s="214"/>
      <c r="BO292" s="214"/>
      <c r="BP292" s="214"/>
      <c r="BQ292" s="214"/>
      <c r="BR292" s="214"/>
      <c r="BS292" s="214"/>
      <c r="BT292" s="214"/>
      <c r="BU292" s="214"/>
      <c r="BV292" s="214"/>
      <c r="BW292" s="214"/>
      <c r="BX292" s="214"/>
      <c r="BY292" s="214"/>
      <c r="BZ292" s="214"/>
      <c r="CA292" s="214"/>
      <c r="CB292" s="214"/>
      <c r="CC292" s="214"/>
      <c r="CD292" s="214"/>
      <c r="CE292" s="214"/>
      <c r="CF292" s="214"/>
      <c r="CG292" s="214"/>
      <c r="CH292" s="214"/>
      <c r="CI292" s="214"/>
      <c r="CJ292" s="214"/>
      <c r="CK292" s="214"/>
      <c r="CL292" s="214"/>
      <c r="CM292" s="214"/>
      <c r="CN292" s="214"/>
      <c r="CO292" s="214"/>
      <c r="CP292" s="214"/>
      <c r="CQ292" s="214"/>
      <c r="CR292" s="214"/>
      <c r="CS292" s="214"/>
      <c r="CT292" s="214"/>
      <c r="CU292" s="214"/>
      <c r="CV292" s="214"/>
      <c r="CW292" s="214"/>
      <c r="CX292" s="214"/>
      <c r="CY292" s="214"/>
      <c r="CZ292" s="214"/>
      <c r="DA292" s="214"/>
      <c r="DB292" s="214"/>
      <c r="DC292" s="214"/>
      <c r="DD292" s="214"/>
      <c r="DE292" s="214"/>
      <c r="DF292" s="214"/>
      <c r="DG292" s="214"/>
      <c r="DH292" s="214"/>
      <c r="DI292" s="214"/>
      <c r="DJ292" s="214"/>
      <c r="DK292" s="214"/>
      <c r="DL292" s="214"/>
      <c r="DM292" s="214"/>
      <c r="DN292" s="214"/>
      <c r="DO292" s="214"/>
      <c r="DP292" s="214"/>
      <c r="DQ292" s="214"/>
      <c r="DR292" s="214"/>
      <c r="DS292" s="214"/>
      <c r="DT292" s="214"/>
      <c r="DU292" s="214"/>
      <c r="DV292" s="214"/>
      <c r="DW292" s="214"/>
      <c r="DX292" s="214"/>
      <c r="DY292" s="214"/>
      <c r="DZ292" s="214"/>
      <c r="EA292" s="214"/>
      <c r="EB292" s="214"/>
      <c r="EC292" s="214"/>
    </row>
    <row r="293" spans="21:133" s="226" customFormat="1" x14ac:dyDescent="0.15">
      <c r="U293" s="214"/>
      <c r="V293" s="214"/>
      <c r="W293" s="214"/>
      <c r="X293" s="214"/>
      <c r="Y293" s="214"/>
      <c r="Z293" s="214"/>
      <c r="AA293" s="214"/>
      <c r="AB293" s="214"/>
      <c r="AC293" s="214"/>
      <c r="AD293" s="214"/>
      <c r="AE293" s="214"/>
      <c r="AF293" s="214"/>
      <c r="AG293" s="214"/>
      <c r="AH293" s="214"/>
      <c r="AI293" s="214"/>
      <c r="AJ293" s="214"/>
      <c r="AK293" s="214"/>
      <c r="AL293" s="214"/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  <c r="BI293" s="214"/>
      <c r="BJ293" s="214"/>
      <c r="BK293" s="214"/>
      <c r="BL293" s="214"/>
      <c r="BM293" s="214"/>
      <c r="BN293" s="214"/>
      <c r="BO293" s="214"/>
      <c r="BP293" s="214"/>
      <c r="BQ293" s="214"/>
      <c r="BR293" s="214"/>
      <c r="BS293" s="214"/>
      <c r="BT293" s="214"/>
      <c r="BU293" s="214"/>
      <c r="BV293" s="214"/>
      <c r="BW293" s="214"/>
      <c r="BX293" s="214"/>
      <c r="BY293" s="214"/>
      <c r="BZ293" s="214"/>
      <c r="CA293" s="214"/>
      <c r="CB293" s="214"/>
      <c r="CC293" s="214"/>
      <c r="CD293" s="214"/>
      <c r="CE293" s="214"/>
      <c r="CF293" s="214"/>
      <c r="CG293" s="214"/>
      <c r="CH293" s="214"/>
      <c r="CI293" s="214"/>
      <c r="CJ293" s="214"/>
      <c r="CK293" s="214"/>
      <c r="CL293" s="214"/>
      <c r="CM293" s="214"/>
      <c r="CN293" s="214"/>
      <c r="CO293" s="214"/>
      <c r="CP293" s="214"/>
      <c r="CQ293" s="214"/>
      <c r="CR293" s="214"/>
      <c r="CS293" s="214"/>
      <c r="CT293" s="214"/>
      <c r="CU293" s="214"/>
      <c r="CV293" s="214"/>
      <c r="CW293" s="214"/>
      <c r="CX293" s="214"/>
      <c r="CY293" s="214"/>
      <c r="CZ293" s="214"/>
      <c r="DA293" s="214"/>
      <c r="DB293" s="214"/>
      <c r="DC293" s="214"/>
      <c r="DD293" s="214"/>
      <c r="DE293" s="214"/>
      <c r="DF293" s="214"/>
      <c r="DG293" s="214"/>
      <c r="DH293" s="214"/>
      <c r="DI293" s="214"/>
      <c r="DJ293" s="214"/>
      <c r="DK293" s="214"/>
      <c r="DL293" s="214"/>
      <c r="DM293" s="214"/>
      <c r="DN293" s="214"/>
      <c r="DO293" s="214"/>
      <c r="DP293" s="214"/>
      <c r="DQ293" s="214"/>
      <c r="DR293" s="214"/>
      <c r="DS293" s="214"/>
      <c r="DT293" s="214"/>
      <c r="DU293" s="214"/>
      <c r="DV293" s="214"/>
      <c r="DW293" s="214"/>
      <c r="DX293" s="214"/>
      <c r="DY293" s="214"/>
      <c r="DZ293" s="214"/>
      <c r="EA293" s="214"/>
      <c r="EB293" s="214"/>
      <c r="EC293" s="214"/>
    </row>
    <row r="294" spans="21:133" s="226" customFormat="1" x14ac:dyDescent="0.15"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  <c r="CA294" s="214"/>
      <c r="CB294" s="214"/>
      <c r="CC294" s="214"/>
      <c r="CD294" s="214"/>
      <c r="CE294" s="214"/>
      <c r="CF294" s="214"/>
      <c r="CG294" s="214"/>
      <c r="CH294" s="214"/>
      <c r="CI294" s="214"/>
      <c r="CJ294" s="214"/>
      <c r="CK294" s="214"/>
      <c r="CL294" s="214"/>
      <c r="CM294" s="214"/>
      <c r="CN294" s="214"/>
      <c r="CO294" s="214"/>
      <c r="CP294" s="214"/>
      <c r="CQ294" s="214"/>
      <c r="CR294" s="214"/>
      <c r="CS294" s="214"/>
      <c r="CT294" s="214"/>
      <c r="CU294" s="214"/>
      <c r="CV294" s="214"/>
      <c r="CW294" s="214"/>
      <c r="CX294" s="214"/>
      <c r="CY294" s="214"/>
      <c r="CZ294" s="214"/>
      <c r="DA294" s="214"/>
      <c r="DB294" s="214"/>
      <c r="DC294" s="214"/>
      <c r="DD294" s="214"/>
      <c r="DE294" s="214"/>
      <c r="DF294" s="214"/>
      <c r="DG294" s="214"/>
      <c r="DH294" s="214"/>
      <c r="DI294" s="214"/>
      <c r="DJ294" s="214"/>
      <c r="DK294" s="214"/>
      <c r="DL294" s="214"/>
      <c r="DM294" s="214"/>
      <c r="DN294" s="214"/>
      <c r="DO294" s="214"/>
      <c r="DP294" s="214"/>
      <c r="DQ294" s="214"/>
      <c r="DR294" s="214"/>
      <c r="DS294" s="214"/>
      <c r="DT294" s="214"/>
      <c r="DU294" s="214"/>
      <c r="DV294" s="214"/>
      <c r="DW294" s="214"/>
      <c r="DX294" s="214"/>
      <c r="DY294" s="214"/>
      <c r="DZ294" s="214"/>
      <c r="EA294" s="214"/>
      <c r="EB294" s="214"/>
      <c r="EC294" s="214"/>
    </row>
    <row r="295" spans="21:133" s="226" customFormat="1" x14ac:dyDescent="0.15">
      <c r="U295" s="214"/>
      <c r="V295" s="214"/>
      <c r="W295" s="214"/>
      <c r="X295" s="214"/>
      <c r="Y295" s="214"/>
      <c r="Z295" s="214"/>
      <c r="AA295" s="214"/>
      <c r="AB295" s="214"/>
      <c r="AC295" s="214"/>
      <c r="AD295" s="214"/>
      <c r="AE295" s="214"/>
      <c r="AF295" s="214"/>
      <c r="AG295" s="214"/>
      <c r="AH295" s="214"/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  <c r="BI295" s="214"/>
      <c r="BJ295" s="214"/>
      <c r="BK295" s="214"/>
      <c r="BL295" s="214"/>
      <c r="BM295" s="214"/>
      <c r="BN295" s="214"/>
      <c r="BO295" s="214"/>
      <c r="BP295" s="214"/>
      <c r="BQ295" s="214"/>
      <c r="BR295" s="214"/>
      <c r="BS295" s="214"/>
      <c r="BT295" s="214"/>
      <c r="BU295" s="214"/>
      <c r="BV295" s="214"/>
      <c r="BW295" s="214"/>
      <c r="BX295" s="214"/>
      <c r="BY295" s="214"/>
      <c r="BZ295" s="214"/>
      <c r="CA295" s="214"/>
      <c r="CB295" s="214"/>
      <c r="CC295" s="214"/>
      <c r="CD295" s="214"/>
      <c r="CE295" s="214"/>
      <c r="CF295" s="214"/>
      <c r="CG295" s="214"/>
      <c r="CH295" s="214"/>
      <c r="CI295" s="214"/>
      <c r="CJ295" s="214"/>
      <c r="CK295" s="214"/>
      <c r="CL295" s="214"/>
      <c r="CM295" s="214"/>
      <c r="CN295" s="214"/>
      <c r="CO295" s="214"/>
      <c r="CP295" s="214"/>
      <c r="CQ295" s="214"/>
      <c r="CR295" s="214"/>
      <c r="CS295" s="214"/>
      <c r="CT295" s="214"/>
      <c r="CU295" s="214"/>
      <c r="CV295" s="214"/>
      <c r="CW295" s="214"/>
      <c r="CX295" s="214"/>
      <c r="CY295" s="214"/>
      <c r="CZ295" s="214"/>
      <c r="DA295" s="214"/>
      <c r="DB295" s="214"/>
      <c r="DC295" s="214"/>
      <c r="DD295" s="214"/>
      <c r="DE295" s="214"/>
      <c r="DF295" s="214"/>
      <c r="DG295" s="214"/>
      <c r="DH295" s="214"/>
      <c r="DI295" s="214"/>
      <c r="DJ295" s="214"/>
      <c r="DK295" s="214"/>
      <c r="DL295" s="214"/>
      <c r="DM295" s="214"/>
      <c r="DN295" s="214"/>
      <c r="DO295" s="214"/>
      <c r="DP295" s="214"/>
      <c r="DQ295" s="214"/>
      <c r="DR295" s="214"/>
      <c r="DS295" s="214"/>
      <c r="DT295" s="214"/>
      <c r="DU295" s="214"/>
      <c r="DV295" s="214"/>
      <c r="DW295" s="214"/>
      <c r="DX295" s="214"/>
      <c r="DY295" s="214"/>
      <c r="DZ295" s="214"/>
      <c r="EA295" s="214"/>
      <c r="EB295" s="214"/>
      <c r="EC295" s="214"/>
    </row>
    <row r="296" spans="21:133" s="226" customFormat="1" x14ac:dyDescent="0.15"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14"/>
      <c r="AE296" s="214"/>
      <c r="AF296" s="214"/>
      <c r="AG296" s="214"/>
      <c r="AH296" s="214"/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  <c r="BI296" s="214"/>
      <c r="BJ296" s="214"/>
      <c r="BK296" s="214"/>
      <c r="BL296" s="214"/>
      <c r="BM296" s="214"/>
      <c r="BN296" s="214"/>
      <c r="BO296" s="214"/>
      <c r="BP296" s="214"/>
      <c r="BQ296" s="214"/>
      <c r="BR296" s="214"/>
      <c r="BS296" s="214"/>
      <c r="BT296" s="214"/>
      <c r="BU296" s="214"/>
      <c r="BV296" s="214"/>
      <c r="BW296" s="214"/>
      <c r="BX296" s="214"/>
      <c r="BY296" s="214"/>
      <c r="BZ296" s="214"/>
      <c r="CA296" s="214"/>
      <c r="CB296" s="214"/>
      <c r="CC296" s="214"/>
      <c r="CD296" s="214"/>
      <c r="CE296" s="214"/>
      <c r="CF296" s="214"/>
      <c r="CG296" s="214"/>
      <c r="CH296" s="214"/>
      <c r="CI296" s="214"/>
      <c r="CJ296" s="214"/>
      <c r="CK296" s="214"/>
      <c r="CL296" s="214"/>
      <c r="CM296" s="214"/>
      <c r="CN296" s="214"/>
      <c r="CO296" s="214"/>
      <c r="CP296" s="214"/>
      <c r="CQ296" s="214"/>
      <c r="CR296" s="214"/>
      <c r="CS296" s="214"/>
      <c r="CT296" s="214"/>
      <c r="CU296" s="214"/>
      <c r="CV296" s="214"/>
      <c r="CW296" s="214"/>
      <c r="CX296" s="214"/>
      <c r="CY296" s="214"/>
      <c r="CZ296" s="214"/>
      <c r="DA296" s="214"/>
      <c r="DB296" s="214"/>
      <c r="DC296" s="214"/>
      <c r="DD296" s="214"/>
      <c r="DE296" s="214"/>
      <c r="DF296" s="214"/>
      <c r="DG296" s="214"/>
      <c r="DH296" s="214"/>
      <c r="DI296" s="214"/>
      <c r="DJ296" s="214"/>
      <c r="DK296" s="214"/>
      <c r="DL296" s="214"/>
      <c r="DM296" s="214"/>
      <c r="DN296" s="214"/>
      <c r="DO296" s="214"/>
      <c r="DP296" s="214"/>
      <c r="DQ296" s="214"/>
      <c r="DR296" s="214"/>
      <c r="DS296" s="214"/>
      <c r="DT296" s="214"/>
      <c r="DU296" s="214"/>
      <c r="DV296" s="214"/>
      <c r="DW296" s="214"/>
      <c r="DX296" s="214"/>
      <c r="DY296" s="214"/>
      <c r="DZ296" s="214"/>
      <c r="EA296" s="214"/>
      <c r="EB296" s="214"/>
      <c r="EC296" s="214"/>
    </row>
    <row r="297" spans="21:133" s="226" customFormat="1" x14ac:dyDescent="0.15"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  <c r="CP297" s="214"/>
      <c r="CQ297" s="214"/>
      <c r="CR297" s="214"/>
      <c r="CS297" s="214"/>
      <c r="CT297" s="214"/>
      <c r="CU297" s="214"/>
      <c r="CV297" s="214"/>
      <c r="CW297" s="214"/>
      <c r="CX297" s="214"/>
      <c r="CY297" s="214"/>
      <c r="CZ297" s="214"/>
      <c r="DA297" s="214"/>
      <c r="DB297" s="214"/>
      <c r="DC297" s="214"/>
      <c r="DD297" s="214"/>
      <c r="DE297" s="214"/>
      <c r="DF297" s="214"/>
      <c r="DG297" s="214"/>
      <c r="DH297" s="214"/>
      <c r="DI297" s="214"/>
      <c r="DJ297" s="214"/>
      <c r="DK297" s="214"/>
      <c r="DL297" s="214"/>
      <c r="DM297" s="214"/>
      <c r="DN297" s="214"/>
      <c r="DO297" s="214"/>
      <c r="DP297" s="214"/>
      <c r="DQ297" s="214"/>
      <c r="DR297" s="214"/>
      <c r="DS297" s="214"/>
      <c r="DT297" s="214"/>
      <c r="DU297" s="214"/>
      <c r="DV297" s="214"/>
      <c r="DW297" s="214"/>
      <c r="DX297" s="214"/>
      <c r="DY297" s="214"/>
      <c r="DZ297" s="214"/>
      <c r="EA297" s="214"/>
      <c r="EB297" s="214"/>
      <c r="EC297" s="214"/>
    </row>
    <row r="298" spans="21:133" s="226" customFormat="1" x14ac:dyDescent="0.15"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14"/>
      <c r="AE298" s="214"/>
      <c r="AF298" s="214"/>
      <c r="AG298" s="214"/>
      <c r="AH298" s="214"/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  <c r="BI298" s="214"/>
      <c r="BJ298" s="214"/>
      <c r="BK298" s="214"/>
      <c r="BL298" s="214"/>
      <c r="BM298" s="214"/>
      <c r="BN298" s="214"/>
      <c r="BO298" s="214"/>
      <c r="BP298" s="214"/>
      <c r="BQ298" s="214"/>
      <c r="BR298" s="214"/>
      <c r="BS298" s="214"/>
      <c r="BT298" s="214"/>
      <c r="BU298" s="214"/>
      <c r="BV298" s="214"/>
      <c r="BW298" s="214"/>
      <c r="BX298" s="214"/>
      <c r="BY298" s="214"/>
      <c r="BZ298" s="214"/>
      <c r="CA298" s="214"/>
      <c r="CB298" s="214"/>
      <c r="CC298" s="214"/>
      <c r="CD298" s="214"/>
      <c r="CE298" s="214"/>
      <c r="CF298" s="214"/>
      <c r="CG298" s="214"/>
      <c r="CH298" s="214"/>
      <c r="CI298" s="214"/>
      <c r="CJ298" s="214"/>
      <c r="CK298" s="214"/>
      <c r="CL298" s="214"/>
      <c r="CM298" s="214"/>
      <c r="CN298" s="214"/>
      <c r="CO298" s="214"/>
      <c r="CP298" s="214"/>
      <c r="CQ298" s="214"/>
      <c r="CR298" s="214"/>
      <c r="CS298" s="214"/>
      <c r="CT298" s="214"/>
      <c r="CU298" s="214"/>
      <c r="CV298" s="214"/>
      <c r="CW298" s="214"/>
      <c r="CX298" s="214"/>
      <c r="CY298" s="214"/>
      <c r="CZ298" s="214"/>
      <c r="DA298" s="214"/>
      <c r="DB298" s="214"/>
      <c r="DC298" s="214"/>
      <c r="DD298" s="214"/>
      <c r="DE298" s="214"/>
      <c r="DF298" s="214"/>
      <c r="DG298" s="214"/>
      <c r="DH298" s="214"/>
      <c r="DI298" s="214"/>
      <c r="DJ298" s="214"/>
      <c r="DK298" s="214"/>
      <c r="DL298" s="214"/>
      <c r="DM298" s="214"/>
      <c r="DN298" s="214"/>
      <c r="DO298" s="214"/>
      <c r="DP298" s="214"/>
      <c r="DQ298" s="214"/>
      <c r="DR298" s="214"/>
      <c r="DS298" s="214"/>
      <c r="DT298" s="214"/>
      <c r="DU298" s="214"/>
      <c r="DV298" s="214"/>
      <c r="DW298" s="214"/>
      <c r="DX298" s="214"/>
      <c r="DY298" s="214"/>
      <c r="DZ298" s="214"/>
      <c r="EA298" s="214"/>
      <c r="EB298" s="214"/>
      <c r="EC298" s="214"/>
    </row>
    <row r="299" spans="21:133" s="226" customFormat="1" x14ac:dyDescent="0.15"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  <c r="BI299" s="214"/>
      <c r="BJ299" s="214"/>
      <c r="BK299" s="214"/>
      <c r="BL299" s="214"/>
      <c r="BM299" s="214"/>
      <c r="BN299" s="214"/>
      <c r="BO299" s="214"/>
      <c r="BP299" s="214"/>
      <c r="BQ299" s="214"/>
      <c r="BR299" s="214"/>
      <c r="BS299" s="214"/>
      <c r="BT299" s="214"/>
      <c r="BU299" s="214"/>
      <c r="BV299" s="214"/>
      <c r="BW299" s="214"/>
      <c r="BX299" s="214"/>
      <c r="BY299" s="214"/>
      <c r="BZ299" s="214"/>
      <c r="CA299" s="214"/>
      <c r="CB299" s="214"/>
      <c r="CC299" s="214"/>
      <c r="CD299" s="214"/>
      <c r="CE299" s="214"/>
      <c r="CF299" s="214"/>
      <c r="CG299" s="214"/>
      <c r="CH299" s="214"/>
      <c r="CI299" s="214"/>
      <c r="CJ299" s="214"/>
      <c r="CK299" s="214"/>
      <c r="CL299" s="214"/>
      <c r="CM299" s="214"/>
      <c r="CN299" s="214"/>
      <c r="CO299" s="214"/>
      <c r="CP299" s="214"/>
      <c r="CQ299" s="214"/>
      <c r="CR299" s="214"/>
      <c r="CS299" s="214"/>
      <c r="CT299" s="214"/>
      <c r="CU299" s="214"/>
      <c r="CV299" s="214"/>
      <c r="CW299" s="214"/>
      <c r="CX299" s="214"/>
      <c r="CY299" s="214"/>
      <c r="CZ299" s="214"/>
      <c r="DA299" s="214"/>
      <c r="DB299" s="214"/>
      <c r="DC299" s="214"/>
      <c r="DD299" s="214"/>
      <c r="DE299" s="214"/>
      <c r="DF299" s="214"/>
      <c r="DG299" s="214"/>
      <c r="DH299" s="214"/>
      <c r="DI299" s="214"/>
      <c r="DJ299" s="214"/>
      <c r="DK299" s="214"/>
      <c r="DL299" s="214"/>
      <c r="DM299" s="214"/>
      <c r="DN299" s="214"/>
      <c r="DO299" s="214"/>
      <c r="DP299" s="214"/>
      <c r="DQ299" s="214"/>
      <c r="DR299" s="214"/>
      <c r="DS299" s="214"/>
      <c r="DT299" s="214"/>
      <c r="DU299" s="214"/>
      <c r="DV299" s="214"/>
      <c r="DW299" s="214"/>
      <c r="DX299" s="214"/>
      <c r="DY299" s="214"/>
      <c r="DZ299" s="214"/>
      <c r="EA299" s="214"/>
      <c r="EB299" s="214"/>
      <c r="EC299" s="214"/>
    </row>
    <row r="300" spans="21:133" s="226" customFormat="1" x14ac:dyDescent="0.15"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4"/>
      <c r="BN300" s="214"/>
      <c r="BO300" s="214"/>
      <c r="BP300" s="214"/>
      <c r="BQ300" s="214"/>
      <c r="BR300" s="214"/>
      <c r="BS300" s="214"/>
      <c r="BT300" s="214"/>
      <c r="BU300" s="214"/>
      <c r="BV300" s="214"/>
      <c r="BW300" s="214"/>
      <c r="BX300" s="214"/>
      <c r="BY300" s="214"/>
      <c r="BZ300" s="214"/>
      <c r="CA300" s="214"/>
      <c r="CB300" s="214"/>
      <c r="CC300" s="214"/>
      <c r="CD300" s="214"/>
      <c r="CE300" s="214"/>
      <c r="CF300" s="214"/>
      <c r="CG300" s="214"/>
      <c r="CH300" s="214"/>
      <c r="CI300" s="214"/>
      <c r="CJ300" s="214"/>
      <c r="CK300" s="214"/>
      <c r="CL300" s="214"/>
      <c r="CM300" s="214"/>
      <c r="CN300" s="214"/>
      <c r="CO300" s="214"/>
      <c r="CP300" s="214"/>
      <c r="CQ300" s="214"/>
      <c r="CR300" s="214"/>
      <c r="CS300" s="214"/>
      <c r="CT300" s="214"/>
      <c r="CU300" s="214"/>
      <c r="CV300" s="214"/>
      <c r="CW300" s="214"/>
      <c r="CX300" s="214"/>
      <c r="CY300" s="214"/>
      <c r="CZ300" s="214"/>
      <c r="DA300" s="214"/>
      <c r="DB300" s="214"/>
      <c r="DC300" s="214"/>
      <c r="DD300" s="214"/>
      <c r="DE300" s="214"/>
      <c r="DF300" s="214"/>
      <c r="DG300" s="214"/>
      <c r="DH300" s="214"/>
      <c r="DI300" s="214"/>
      <c r="DJ300" s="214"/>
      <c r="DK300" s="214"/>
      <c r="DL300" s="214"/>
      <c r="DM300" s="214"/>
      <c r="DN300" s="214"/>
      <c r="DO300" s="214"/>
      <c r="DP300" s="214"/>
      <c r="DQ300" s="214"/>
      <c r="DR300" s="214"/>
      <c r="DS300" s="214"/>
      <c r="DT300" s="214"/>
      <c r="DU300" s="214"/>
      <c r="DV300" s="214"/>
      <c r="DW300" s="214"/>
      <c r="DX300" s="214"/>
      <c r="DY300" s="214"/>
      <c r="DZ300" s="214"/>
      <c r="EA300" s="214"/>
      <c r="EB300" s="214"/>
      <c r="EC300" s="214"/>
    </row>
    <row r="301" spans="21:133" s="226" customFormat="1" x14ac:dyDescent="0.15"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  <c r="BI301" s="214"/>
      <c r="BJ301" s="214"/>
      <c r="BK301" s="214"/>
      <c r="BL301" s="214"/>
      <c r="BM301" s="214"/>
      <c r="BN301" s="214"/>
      <c r="BO301" s="214"/>
      <c r="BP301" s="214"/>
      <c r="BQ301" s="214"/>
      <c r="BR301" s="214"/>
      <c r="BS301" s="214"/>
      <c r="BT301" s="214"/>
      <c r="BU301" s="214"/>
      <c r="BV301" s="214"/>
      <c r="BW301" s="214"/>
      <c r="BX301" s="214"/>
      <c r="BY301" s="214"/>
      <c r="BZ301" s="214"/>
      <c r="CA301" s="214"/>
      <c r="CB301" s="214"/>
      <c r="CC301" s="214"/>
      <c r="CD301" s="214"/>
      <c r="CE301" s="214"/>
      <c r="CF301" s="214"/>
      <c r="CG301" s="214"/>
      <c r="CH301" s="214"/>
      <c r="CI301" s="214"/>
      <c r="CJ301" s="214"/>
      <c r="CK301" s="214"/>
      <c r="CL301" s="214"/>
      <c r="CM301" s="214"/>
      <c r="CN301" s="214"/>
      <c r="CO301" s="214"/>
      <c r="CP301" s="214"/>
      <c r="CQ301" s="214"/>
      <c r="CR301" s="214"/>
      <c r="CS301" s="214"/>
      <c r="CT301" s="214"/>
      <c r="CU301" s="214"/>
      <c r="CV301" s="214"/>
      <c r="CW301" s="214"/>
      <c r="CX301" s="214"/>
      <c r="CY301" s="214"/>
      <c r="CZ301" s="214"/>
      <c r="DA301" s="214"/>
      <c r="DB301" s="214"/>
      <c r="DC301" s="214"/>
      <c r="DD301" s="214"/>
      <c r="DE301" s="214"/>
      <c r="DF301" s="214"/>
      <c r="DG301" s="214"/>
      <c r="DH301" s="214"/>
      <c r="DI301" s="214"/>
      <c r="DJ301" s="214"/>
      <c r="DK301" s="214"/>
      <c r="DL301" s="214"/>
      <c r="DM301" s="214"/>
      <c r="DN301" s="214"/>
      <c r="DO301" s="214"/>
      <c r="DP301" s="214"/>
      <c r="DQ301" s="214"/>
      <c r="DR301" s="214"/>
      <c r="DS301" s="214"/>
      <c r="DT301" s="214"/>
      <c r="DU301" s="214"/>
      <c r="DV301" s="214"/>
      <c r="DW301" s="214"/>
      <c r="DX301" s="214"/>
      <c r="DY301" s="214"/>
      <c r="DZ301" s="214"/>
      <c r="EA301" s="214"/>
      <c r="EB301" s="214"/>
      <c r="EC301" s="214"/>
    </row>
    <row r="302" spans="21:133" s="226" customFormat="1" x14ac:dyDescent="0.15"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4"/>
      <c r="BN302" s="214"/>
      <c r="BO302" s="214"/>
      <c r="BP302" s="214"/>
      <c r="BQ302" s="214"/>
      <c r="BR302" s="214"/>
      <c r="BS302" s="214"/>
      <c r="BT302" s="214"/>
      <c r="BU302" s="214"/>
      <c r="BV302" s="214"/>
      <c r="BW302" s="214"/>
      <c r="BX302" s="214"/>
      <c r="BY302" s="214"/>
      <c r="BZ302" s="214"/>
      <c r="CA302" s="214"/>
      <c r="CB302" s="214"/>
      <c r="CC302" s="214"/>
      <c r="CD302" s="214"/>
      <c r="CE302" s="214"/>
      <c r="CF302" s="214"/>
      <c r="CG302" s="214"/>
      <c r="CH302" s="214"/>
      <c r="CI302" s="214"/>
      <c r="CJ302" s="214"/>
      <c r="CK302" s="214"/>
      <c r="CL302" s="214"/>
      <c r="CM302" s="214"/>
      <c r="CN302" s="214"/>
      <c r="CO302" s="214"/>
      <c r="CP302" s="214"/>
      <c r="CQ302" s="214"/>
      <c r="CR302" s="214"/>
      <c r="CS302" s="214"/>
      <c r="CT302" s="214"/>
      <c r="CU302" s="214"/>
      <c r="CV302" s="214"/>
      <c r="CW302" s="214"/>
      <c r="CX302" s="214"/>
      <c r="CY302" s="214"/>
      <c r="CZ302" s="214"/>
      <c r="DA302" s="214"/>
      <c r="DB302" s="214"/>
      <c r="DC302" s="214"/>
      <c r="DD302" s="214"/>
      <c r="DE302" s="214"/>
      <c r="DF302" s="214"/>
      <c r="DG302" s="214"/>
      <c r="DH302" s="214"/>
      <c r="DI302" s="214"/>
      <c r="DJ302" s="214"/>
      <c r="DK302" s="214"/>
      <c r="DL302" s="214"/>
      <c r="DM302" s="214"/>
      <c r="DN302" s="214"/>
      <c r="DO302" s="214"/>
      <c r="DP302" s="214"/>
      <c r="DQ302" s="214"/>
      <c r="DR302" s="214"/>
      <c r="DS302" s="214"/>
      <c r="DT302" s="214"/>
      <c r="DU302" s="214"/>
      <c r="DV302" s="214"/>
      <c r="DW302" s="214"/>
      <c r="DX302" s="214"/>
      <c r="DY302" s="214"/>
      <c r="DZ302" s="214"/>
      <c r="EA302" s="214"/>
      <c r="EB302" s="214"/>
      <c r="EC302" s="214"/>
    </row>
    <row r="303" spans="21:133" s="226" customFormat="1" x14ac:dyDescent="0.15"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  <c r="BM303" s="214"/>
      <c r="BN303" s="214"/>
      <c r="BO303" s="214"/>
      <c r="BP303" s="214"/>
      <c r="BQ303" s="214"/>
      <c r="BR303" s="214"/>
      <c r="BS303" s="214"/>
      <c r="BT303" s="214"/>
      <c r="BU303" s="214"/>
      <c r="BV303" s="214"/>
      <c r="BW303" s="214"/>
      <c r="BX303" s="214"/>
      <c r="BY303" s="214"/>
      <c r="BZ303" s="214"/>
      <c r="CA303" s="214"/>
      <c r="CB303" s="214"/>
      <c r="CC303" s="214"/>
      <c r="CD303" s="214"/>
      <c r="CE303" s="214"/>
      <c r="CF303" s="214"/>
      <c r="CG303" s="214"/>
      <c r="CH303" s="214"/>
      <c r="CI303" s="214"/>
      <c r="CJ303" s="214"/>
      <c r="CK303" s="214"/>
      <c r="CL303" s="214"/>
      <c r="CM303" s="214"/>
      <c r="CN303" s="214"/>
      <c r="CO303" s="214"/>
      <c r="CP303" s="214"/>
      <c r="CQ303" s="214"/>
      <c r="CR303" s="214"/>
      <c r="CS303" s="214"/>
      <c r="CT303" s="214"/>
      <c r="CU303" s="214"/>
      <c r="CV303" s="214"/>
      <c r="CW303" s="214"/>
      <c r="CX303" s="214"/>
      <c r="CY303" s="214"/>
      <c r="CZ303" s="214"/>
      <c r="DA303" s="214"/>
      <c r="DB303" s="214"/>
      <c r="DC303" s="214"/>
      <c r="DD303" s="214"/>
      <c r="DE303" s="214"/>
      <c r="DF303" s="214"/>
      <c r="DG303" s="214"/>
      <c r="DH303" s="214"/>
      <c r="DI303" s="214"/>
      <c r="DJ303" s="214"/>
      <c r="DK303" s="214"/>
      <c r="DL303" s="214"/>
      <c r="DM303" s="214"/>
      <c r="DN303" s="214"/>
      <c r="DO303" s="214"/>
      <c r="DP303" s="214"/>
      <c r="DQ303" s="214"/>
      <c r="DR303" s="214"/>
      <c r="DS303" s="214"/>
      <c r="DT303" s="214"/>
      <c r="DU303" s="214"/>
      <c r="DV303" s="214"/>
      <c r="DW303" s="214"/>
      <c r="DX303" s="214"/>
      <c r="DY303" s="214"/>
      <c r="DZ303" s="214"/>
      <c r="EA303" s="214"/>
      <c r="EB303" s="214"/>
      <c r="EC303" s="214"/>
    </row>
    <row r="304" spans="21:133" s="226" customFormat="1" x14ac:dyDescent="0.15"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4"/>
      <c r="AE304" s="214"/>
      <c r="AF304" s="214"/>
      <c r="AG304" s="214"/>
      <c r="AH304" s="214"/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  <c r="BI304" s="214"/>
      <c r="BJ304" s="214"/>
      <c r="BK304" s="214"/>
      <c r="BL304" s="214"/>
      <c r="BM304" s="214"/>
      <c r="BN304" s="214"/>
      <c r="BO304" s="214"/>
      <c r="BP304" s="214"/>
      <c r="BQ304" s="214"/>
      <c r="BR304" s="214"/>
      <c r="BS304" s="214"/>
      <c r="BT304" s="214"/>
      <c r="BU304" s="214"/>
      <c r="BV304" s="214"/>
      <c r="BW304" s="214"/>
      <c r="BX304" s="214"/>
      <c r="BY304" s="214"/>
      <c r="BZ304" s="214"/>
      <c r="CA304" s="214"/>
      <c r="CB304" s="214"/>
      <c r="CC304" s="214"/>
      <c r="CD304" s="214"/>
      <c r="CE304" s="214"/>
      <c r="CF304" s="214"/>
      <c r="CG304" s="214"/>
      <c r="CH304" s="214"/>
      <c r="CI304" s="214"/>
      <c r="CJ304" s="214"/>
      <c r="CK304" s="214"/>
      <c r="CL304" s="214"/>
      <c r="CM304" s="214"/>
      <c r="CN304" s="214"/>
      <c r="CO304" s="214"/>
      <c r="CP304" s="214"/>
      <c r="CQ304" s="214"/>
      <c r="CR304" s="214"/>
      <c r="CS304" s="214"/>
      <c r="CT304" s="214"/>
      <c r="CU304" s="214"/>
      <c r="CV304" s="214"/>
      <c r="CW304" s="214"/>
      <c r="CX304" s="214"/>
      <c r="CY304" s="214"/>
      <c r="CZ304" s="214"/>
      <c r="DA304" s="214"/>
      <c r="DB304" s="214"/>
      <c r="DC304" s="214"/>
      <c r="DD304" s="214"/>
      <c r="DE304" s="214"/>
      <c r="DF304" s="214"/>
      <c r="DG304" s="214"/>
      <c r="DH304" s="214"/>
      <c r="DI304" s="214"/>
      <c r="DJ304" s="214"/>
      <c r="DK304" s="214"/>
      <c r="DL304" s="214"/>
      <c r="DM304" s="214"/>
      <c r="DN304" s="214"/>
      <c r="DO304" s="214"/>
      <c r="DP304" s="214"/>
      <c r="DQ304" s="214"/>
      <c r="DR304" s="214"/>
      <c r="DS304" s="214"/>
      <c r="DT304" s="214"/>
      <c r="DU304" s="214"/>
      <c r="DV304" s="214"/>
      <c r="DW304" s="214"/>
      <c r="DX304" s="214"/>
      <c r="DY304" s="214"/>
      <c r="DZ304" s="214"/>
      <c r="EA304" s="214"/>
      <c r="EB304" s="214"/>
      <c r="EC304" s="214"/>
    </row>
    <row r="305" spans="21:133" s="226" customFormat="1" x14ac:dyDescent="0.15"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14"/>
      <c r="AE305" s="214"/>
      <c r="AF305" s="214"/>
      <c r="AG305" s="214"/>
      <c r="AH305" s="214"/>
      <c r="AI305" s="214"/>
      <c r="AJ305" s="214"/>
      <c r="AK305" s="214"/>
      <c r="AL305" s="214"/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4"/>
      <c r="AZ305" s="214"/>
      <c r="BA305" s="214"/>
      <c r="BB305" s="214"/>
      <c r="BC305" s="214"/>
      <c r="BD305" s="214"/>
      <c r="BE305" s="214"/>
      <c r="BF305" s="214"/>
      <c r="BG305" s="214"/>
      <c r="BH305" s="214"/>
      <c r="BI305" s="214"/>
      <c r="BJ305" s="214"/>
      <c r="BK305" s="214"/>
      <c r="BL305" s="214"/>
      <c r="BM305" s="214"/>
      <c r="BN305" s="214"/>
      <c r="BO305" s="214"/>
      <c r="BP305" s="214"/>
      <c r="BQ305" s="214"/>
      <c r="BR305" s="214"/>
      <c r="BS305" s="214"/>
      <c r="BT305" s="214"/>
      <c r="BU305" s="214"/>
      <c r="BV305" s="214"/>
      <c r="BW305" s="214"/>
      <c r="BX305" s="214"/>
      <c r="BY305" s="214"/>
      <c r="BZ305" s="214"/>
      <c r="CA305" s="214"/>
      <c r="CB305" s="214"/>
      <c r="CC305" s="214"/>
      <c r="CD305" s="214"/>
      <c r="CE305" s="214"/>
      <c r="CF305" s="214"/>
      <c r="CG305" s="214"/>
      <c r="CH305" s="214"/>
      <c r="CI305" s="214"/>
      <c r="CJ305" s="214"/>
      <c r="CK305" s="214"/>
      <c r="CL305" s="214"/>
      <c r="CM305" s="214"/>
      <c r="CN305" s="214"/>
      <c r="CO305" s="214"/>
      <c r="CP305" s="214"/>
      <c r="CQ305" s="214"/>
      <c r="CR305" s="214"/>
      <c r="CS305" s="214"/>
      <c r="CT305" s="214"/>
      <c r="CU305" s="214"/>
      <c r="CV305" s="214"/>
      <c r="CW305" s="214"/>
      <c r="CX305" s="214"/>
      <c r="CY305" s="214"/>
      <c r="CZ305" s="214"/>
      <c r="DA305" s="214"/>
      <c r="DB305" s="214"/>
      <c r="DC305" s="214"/>
      <c r="DD305" s="214"/>
      <c r="DE305" s="214"/>
      <c r="DF305" s="214"/>
      <c r="DG305" s="214"/>
      <c r="DH305" s="214"/>
      <c r="DI305" s="214"/>
      <c r="DJ305" s="214"/>
      <c r="DK305" s="214"/>
      <c r="DL305" s="214"/>
      <c r="DM305" s="214"/>
      <c r="DN305" s="214"/>
      <c r="DO305" s="214"/>
      <c r="DP305" s="214"/>
      <c r="DQ305" s="214"/>
      <c r="DR305" s="214"/>
      <c r="DS305" s="214"/>
      <c r="DT305" s="214"/>
      <c r="DU305" s="214"/>
      <c r="DV305" s="214"/>
      <c r="DW305" s="214"/>
      <c r="DX305" s="214"/>
      <c r="DY305" s="214"/>
      <c r="DZ305" s="214"/>
      <c r="EA305" s="214"/>
      <c r="EB305" s="214"/>
      <c r="EC305" s="214"/>
    </row>
    <row r="306" spans="21:133" s="226" customFormat="1" x14ac:dyDescent="0.15"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14"/>
      <c r="AE306" s="214"/>
      <c r="AF306" s="214"/>
      <c r="AG306" s="214"/>
      <c r="AH306" s="214"/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  <c r="BI306" s="214"/>
      <c r="BJ306" s="214"/>
      <c r="BK306" s="214"/>
      <c r="BL306" s="214"/>
      <c r="BM306" s="214"/>
      <c r="BN306" s="214"/>
      <c r="BO306" s="214"/>
      <c r="BP306" s="214"/>
      <c r="BQ306" s="214"/>
      <c r="BR306" s="214"/>
      <c r="BS306" s="214"/>
      <c r="BT306" s="214"/>
      <c r="BU306" s="214"/>
      <c r="BV306" s="214"/>
      <c r="BW306" s="214"/>
      <c r="BX306" s="214"/>
      <c r="BY306" s="214"/>
      <c r="BZ306" s="214"/>
      <c r="CA306" s="214"/>
      <c r="CB306" s="214"/>
      <c r="CC306" s="214"/>
      <c r="CD306" s="214"/>
      <c r="CE306" s="214"/>
      <c r="CF306" s="214"/>
      <c r="CG306" s="214"/>
      <c r="CH306" s="214"/>
      <c r="CI306" s="214"/>
      <c r="CJ306" s="214"/>
      <c r="CK306" s="214"/>
      <c r="CL306" s="214"/>
      <c r="CM306" s="214"/>
      <c r="CN306" s="214"/>
      <c r="CO306" s="214"/>
      <c r="CP306" s="214"/>
      <c r="CQ306" s="214"/>
      <c r="CR306" s="214"/>
      <c r="CS306" s="214"/>
      <c r="CT306" s="214"/>
      <c r="CU306" s="214"/>
      <c r="CV306" s="214"/>
      <c r="CW306" s="214"/>
      <c r="CX306" s="214"/>
      <c r="CY306" s="214"/>
      <c r="CZ306" s="214"/>
      <c r="DA306" s="214"/>
      <c r="DB306" s="214"/>
      <c r="DC306" s="214"/>
      <c r="DD306" s="214"/>
      <c r="DE306" s="214"/>
      <c r="DF306" s="214"/>
      <c r="DG306" s="214"/>
      <c r="DH306" s="214"/>
      <c r="DI306" s="214"/>
      <c r="DJ306" s="214"/>
      <c r="DK306" s="214"/>
      <c r="DL306" s="214"/>
      <c r="DM306" s="214"/>
      <c r="DN306" s="214"/>
      <c r="DO306" s="214"/>
      <c r="DP306" s="214"/>
      <c r="DQ306" s="214"/>
      <c r="DR306" s="214"/>
      <c r="DS306" s="214"/>
      <c r="DT306" s="214"/>
      <c r="DU306" s="214"/>
      <c r="DV306" s="214"/>
      <c r="DW306" s="214"/>
      <c r="DX306" s="214"/>
      <c r="DY306" s="214"/>
      <c r="DZ306" s="214"/>
      <c r="EA306" s="214"/>
      <c r="EB306" s="214"/>
      <c r="EC306" s="214"/>
    </row>
    <row r="307" spans="21:133" s="226" customFormat="1" x14ac:dyDescent="0.15">
      <c r="U307" s="214"/>
      <c r="V307" s="214"/>
      <c r="W307" s="214"/>
      <c r="X307" s="214"/>
      <c r="Y307" s="214"/>
      <c r="Z307" s="214"/>
      <c r="AA307" s="214"/>
      <c r="AB307" s="214"/>
      <c r="AC307" s="214"/>
      <c r="AD307" s="214"/>
      <c r="AE307" s="214"/>
      <c r="AF307" s="214"/>
      <c r="AG307" s="214"/>
      <c r="AH307" s="214"/>
      <c r="AI307" s="214"/>
      <c r="AJ307" s="214"/>
      <c r="AK307" s="214"/>
      <c r="AL307" s="214"/>
      <c r="AM307" s="214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  <c r="CM307" s="214"/>
      <c r="CN307" s="214"/>
      <c r="CO307" s="214"/>
      <c r="CP307" s="214"/>
      <c r="CQ307" s="214"/>
      <c r="CR307" s="214"/>
      <c r="CS307" s="214"/>
      <c r="CT307" s="214"/>
      <c r="CU307" s="214"/>
      <c r="CV307" s="214"/>
      <c r="CW307" s="214"/>
      <c r="CX307" s="214"/>
      <c r="CY307" s="214"/>
      <c r="CZ307" s="214"/>
      <c r="DA307" s="214"/>
      <c r="DB307" s="214"/>
      <c r="DC307" s="214"/>
      <c r="DD307" s="214"/>
      <c r="DE307" s="214"/>
      <c r="DF307" s="214"/>
      <c r="DG307" s="214"/>
      <c r="DH307" s="214"/>
      <c r="DI307" s="214"/>
      <c r="DJ307" s="214"/>
      <c r="DK307" s="214"/>
      <c r="DL307" s="214"/>
      <c r="DM307" s="214"/>
      <c r="DN307" s="214"/>
      <c r="DO307" s="214"/>
      <c r="DP307" s="214"/>
      <c r="DQ307" s="214"/>
      <c r="DR307" s="214"/>
      <c r="DS307" s="214"/>
      <c r="DT307" s="214"/>
      <c r="DU307" s="214"/>
      <c r="DV307" s="214"/>
      <c r="DW307" s="214"/>
      <c r="DX307" s="214"/>
      <c r="DY307" s="214"/>
      <c r="DZ307" s="214"/>
      <c r="EA307" s="214"/>
      <c r="EB307" s="214"/>
      <c r="EC307" s="214"/>
    </row>
    <row r="308" spans="21:133" s="226" customFormat="1" x14ac:dyDescent="0.15"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14"/>
      <c r="AE308" s="214"/>
      <c r="AF308" s="214"/>
      <c r="AG308" s="214"/>
      <c r="AH308" s="214"/>
      <c r="AI308" s="214"/>
      <c r="AJ308" s="214"/>
      <c r="AK308" s="214"/>
      <c r="AL308" s="214"/>
      <c r="AM308" s="214"/>
      <c r="AN308" s="214"/>
      <c r="AO308" s="214"/>
      <c r="AP308" s="214"/>
      <c r="AQ308" s="214"/>
      <c r="AR308" s="214"/>
      <c r="AS308" s="214"/>
      <c r="AT308" s="214"/>
      <c r="AU308" s="214"/>
      <c r="AV308" s="214"/>
      <c r="AW308" s="214"/>
      <c r="AX308" s="214"/>
      <c r="AY308" s="214"/>
      <c r="AZ308" s="214"/>
      <c r="BA308" s="214"/>
      <c r="BB308" s="214"/>
      <c r="BC308" s="214"/>
      <c r="BD308" s="214"/>
      <c r="BE308" s="214"/>
      <c r="BF308" s="214"/>
      <c r="BG308" s="214"/>
      <c r="BH308" s="214"/>
      <c r="BI308" s="214"/>
      <c r="BJ308" s="214"/>
      <c r="BK308" s="214"/>
      <c r="BL308" s="214"/>
      <c r="BM308" s="214"/>
      <c r="BN308" s="214"/>
      <c r="BO308" s="214"/>
      <c r="BP308" s="214"/>
      <c r="BQ308" s="214"/>
      <c r="BR308" s="214"/>
      <c r="BS308" s="214"/>
      <c r="BT308" s="214"/>
      <c r="BU308" s="214"/>
      <c r="BV308" s="214"/>
      <c r="BW308" s="214"/>
      <c r="BX308" s="214"/>
      <c r="BY308" s="214"/>
      <c r="BZ308" s="214"/>
      <c r="CA308" s="214"/>
      <c r="CB308" s="214"/>
      <c r="CC308" s="214"/>
      <c r="CD308" s="214"/>
      <c r="CE308" s="214"/>
      <c r="CF308" s="214"/>
      <c r="CG308" s="214"/>
      <c r="CH308" s="214"/>
      <c r="CI308" s="214"/>
      <c r="CJ308" s="214"/>
      <c r="CK308" s="214"/>
      <c r="CL308" s="214"/>
      <c r="CM308" s="214"/>
      <c r="CN308" s="214"/>
      <c r="CO308" s="214"/>
      <c r="CP308" s="214"/>
      <c r="CQ308" s="214"/>
      <c r="CR308" s="214"/>
      <c r="CS308" s="214"/>
      <c r="CT308" s="214"/>
      <c r="CU308" s="214"/>
      <c r="CV308" s="214"/>
      <c r="CW308" s="214"/>
      <c r="CX308" s="214"/>
      <c r="CY308" s="214"/>
      <c r="CZ308" s="214"/>
      <c r="DA308" s="214"/>
      <c r="DB308" s="214"/>
      <c r="DC308" s="214"/>
      <c r="DD308" s="214"/>
      <c r="DE308" s="214"/>
      <c r="DF308" s="214"/>
      <c r="DG308" s="214"/>
      <c r="DH308" s="214"/>
      <c r="DI308" s="214"/>
      <c r="DJ308" s="214"/>
      <c r="DK308" s="214"/>
      <c r="DL308" s="214"/>
      <c r="DM308" s="214"/>
      <c r="DN308" s="214"/>
      <c r="DO308" s="214"/>
      <c r="DP308" s="214"/>
      <c r="DQ308" s="214"/>
      <c r="DR308" s="214"/>
      <c r="DS308" s="214"/>
      <c r="DT308" s="214"/>
      <c r="DU308" s="214"/>
      <c r="DV308" s="214"/>
      <c r="DW308" s="214"/>
      <c r="DX308" s="214"/>
      <c r="DY308" s="214"/>
      <c r="DZ308" s="214"/>
      <c r="EA308" s="214"/>
      <c r="EB308" s="214"/>
      <c r="EC308" s="214"/>
    </row>
    <row r="309" spans="21:133" s="226" customFormat="1" x14ac:dyDescent="0.15"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14"/>
      <c r="AE309" s="214"/>
      <c r="AF309" s="214"/>
      <c r="AG309" s="214"/>
      <c r="AH309" s="214"/>
      <c r="AI309" s="214"/>
      <c r="AJ309" s="214"/>
      <c r="AK309" s="214"/>
      <c r="AL309" s="214"/>
      <c r="AM309" s="214"/>
      <c r="AN309" s="214"/>
      <c r="AO309" s="214"/>
      <c r="AP309" s="214"/>
      <c r="AQ309" s="214"/>
      <c r="AR309" s="214"/>
      <c r="AS309" s="214"/>
      <c r="AT309" s="214"/>
      <c r="AU309" s="214"/>
      <c r="AV309" s="214"/>
      <c r="AW309" s="214"/>
      <c r="AX309" s="214"/>
      <c r="AY309" s="214"/>
      <c r="AZ309" s="214"/>
      <c r="BA309" s="214"/>
      <c r="BB309" s="214"/>
      <c r="BC309" s="214"/>
      <c r="BD309" s="214"/>
      <c r="BE309" s="214"/>
      <c r="BF309" s="214"/>
      <c r="BG309" s="214"/>
      <c r="BH309" s="214"/>
      <c r="BI309" s="214"/>
      <c r="BJ309" s="214"/>
      <c r="BK309" s="214"/>
      <c r="BL309" s="214"/>
      <c r="BM309" s="214"/>
      <c r="BN309" s="214"/>
      <c r="BO309" s="214"/>
      <c r="BP309" s="214"/>
      <c r="BQ309" s="214"/>
      <c r="BR309" s="214"/>
      <c r="BS309" s="214"/>
      <c r="BT309" s="214"/>
      <c r="BU309" s="214"/>
      <c r="BV309" s="214"/>
      <c r="BW309" s="214"/>
      <c r="BX309" s="214"/>
      <c r="BY309" s="214"/>
      <c r="BZ309" s="214"/>
      <c r="CA309" s="214"/>
      <c r="CB309" s="214"/>
      <c r="CC309" s="214"/>
      <c r="CD309" s="214"/>
      <c r="CE309" s="214"/>
      <c r="CF309" s="214"/>
      <c r="CG309" s="214"/>
      <c r="CH309" s="214"/>
      <c r="CI309" s="214"/>
      <c r="CJ309" s="214"/>
      <c r="CK309" s="214"/>
      <c r="CL309" s="214"/>
      <c r="CM309" s="214"/>
      <c r="CN309" s="214"/>
      <c r="CO309" s="214"/>
      <c r="CP309" s="214"/>
      <c r="CQ309" s="214"/>
      <c r="CR309" s="214"/>
      <c r="CS309" s="214"/>
      <c r="CT309" s="214"/>
      <c r="CU309" s="214"/>
      <c r="CV309" s="214"/>
      <c r="CW309" s="214"/>
      <c r="CX309" s="214"/>
      <c r="CY309" s="214"/>
      <c r="CZ309" s="214"/>
      <c r="DA309" s="214"/>
      <c r="DB309" s="214"/>
      <c r="DC309" s="214"/>
      <c r="DD309" s="214"/>
      <c r="DE309" s="214"/>
      <c r="DF309" s="214"/>
      <c r="DG309" s="214"/>
      <c r="DH309" s="214"/>
      <c r="DI309" s="214"/>
      <c r="DJ309" s="214"/>
      <c r="DK309" s="214"/>
      <c r="DL309" s="214"/>
      <c r="DM309" s="214"/>
      <c r="DN309" s="214"/>
      <c r="DO309" s="214"/>
      <c r="DP309" s="214"/>
      <c r="DQ309" s="214"/>
      <c r="DR309" s="214"/>
      <c r="DS309" s="214"/>
      <c r="DT309" s="214"/>
      <c r="DU309" s="214"/>
      <c r="DV309" s="214"/>
      <c r="DW309" s="214"/>
      <c r="DX309" s="214"/>
      <c r="DY309" s="214"/>
      <c r="DZ309" s="214"/>
      <c r="EA309" s="214"/>
      <c r="EB309" s="214"/>
      <c r="EC309" s="214"/>
    </row>
    <row r="310" spans="21:133" s="226" customFormat="1" x14ac:dyDescent="0.15"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14"/>
      <c r="AE310" s="214"/>
      <c r="AF310" s="214"/>
      <c r="AG310" s="214"/>
      <c r="AH310" s="214"/>
      <c r="AI310" s="214"/>
      <c r="AJ310" s="214"/>
      <c r="AK310" s="214"/>
      <c r="AL310" s="214"/>
      <c r="AM310" s="214"/>
      <c r="AN310" s="214"/>
      <c r="AO310" s="214"/>
      <c r="AP310" s="214"/>
      <c r="AQ310" s="214"/>
      <c r="AR310" s="214"/>
      <c r="AS310" s="214"/>
      <c r="AT310" s="214"/>
      <c r="AU310" s="214"/>
      <c r="AV310" s="214"/>
      <c r="AW310" s="214"/>
      <c r="AX310" s="214"/>
      <c r="AY310" s="214"/>
      <c r="AZ310" s="214"/>
      <c r="BA310" s="214"/>
      <c r="BB310" s="214"/>
      <c r="BC310" s="214"/>
      <c r="BD310" s="214"/>
      <c r="BE310" s="214"/>
      <c r="BF310" s="214"/>
      <c r="BG310" s="214"/>
      <c r="BH310" s="214"/>
      <c r="BI310" s="214"/>
      <c r="BJ310" s="214"/>
      <c r="BK310" s="214"/>
      <c r="BL310" s="214"/>
      <c r="BM310" s="214"/>
      <c r="BN310" s="214"/>
      <c r="BO310" s="214"/>
      <c r="BP310" s="214"/>
      <c r="BQ310" s="214"/>
      <c r="BR310" s="214"/>
      <c r="BS310" s="214"/>
      <c r="BT310" s="214"/>
      <c r="BU310" s="214"/>
      <c r="BV310" s="214"/>
      <c r="BW310" s="214"/>
      <c r="BX310" s="214"/>
      <c r="BY310" s="214"/>
      <c r="BZ310" s="214"/>
      <c r="CA310" s="214"/>
      <c r="CB310" s="214"/>
      <c r="CC310" s="214"/>
      <c r="CD310" s="214"/>
      <c r="CE310" s="214"/>
      <c r="CF310" s="214"/>
      <c r="CG310" s="214"/>
      <c r="CH310" s="214"/>
      <c r="CI310" s="214"/>
      <c r="CJ310" s="214"/>
      <c r="CK310" s="214"/>
      <c r="CL310" s="214"/>
      <c r="CM310" s="214"/>
      <c r="CN310" s="214"/>
      <c r="CO310" s="214"/>
      <c r="CP310" s="214"/>
      <c r="CQ310" s="214"/>
      <c r="CR310" s="214"/>
      <c r="CS310" s="214"/>
      <c r="CT310" s="214"/>
      <c r="CU310" s="214"/>
      <c r="CV310" s="214"/>
      <c r="CW310" s="214"/>
      <c r="CX310" s="214"/>
      <c r="CY310" s="214"/>
      <c r="CZ310" s="214"/>
      <c r="DA310" s="214"/>
      <c r="DB310" s="214"/>
      <c r="DC310" s="214"/>
      <c r="DD310" s="214"/>
      <c r="DE310" s="214"/>
      <c r="DF310" s="214"/>
      <c r="DG310" s="214"/>
      <c r="DH310" s="214"/>
      <c r="DI310" s="214"/>
      <c r="DJ310" s="214"/>
      <c r="DK310" s="214"/>
      <c r="DL310" s="214"/>
      <c r="DM310" s="214"/>
      <c r="DN310" s="214"/>
      <c r="DO310" s="214"/>
      <c r="DP310" s="214"/>
      <c r="DQ310" s="214"/>
      <c r="DR310" s="214"/>
      <c r="DS310" s="214"/>
      <c r="DT310" s="214"/>
      <c r="DU310" s="214"/>
      <c r="DV310" s="214"/>
      <c r="DW310" s="214"/>
      <c r="DX310" s="214"/>
      <c r="DY310" s="214"/>
      <c r="DZ310" s="214"/>
      <c r="EA310" s="214"/>
      <c r="EB310" s="214"/>
      <c r="EC310" s="214"/>
    </row>
    <row r="311" spans="21:133" s="226" customFormat="1" x14ac:dyDescent="0.15"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14"/>
      <c r="AE311" s="214"/>
      <c r="AF311" s="214"/>
      <c r="AG311" s="214"/>
      <c r="AH311" s="214"/>
      <c r="AI311" s="214"/>
      <c r="AJ311" s="214"/>
      <c r="AK311" s="214"/>
      <c r="AL311" s="214"/>
      <c r="AM311" s="214"/>
      <c r="AN311" s="214"/>
      <c r="AO311" s="214"/>
      <c r="AP311" s="214"/>
      <c r="AQ311" s="214"/>
      <c r="AR311" s="214"/>
      <c r="AS311" s="214"/>
      <c r="AT311" s="214"/>
      <c r="AU311" s="214"/>
      <c r="AV311" s="214"/>
      <c r="AW311" s="214"/>
      <c r="AX311" s="214"/>
      <c r="AY311" s="214"/>
      <c r="AZ311" s="214"/>
      <c r="BA311" s="214"/>
      <c r="BB311" s="214"/>
      <c r="BC311" s="214"/>
      <c r="BD311" s="214"/>
      <c r="BE311" s="214"/>
      <c r="BF311" s="214"/>
      <c r="BG311" s="214"/>
      <c r="BH311" s="214"/>
      <c r="BI311" s="214"/>
      <c r="BJ311" s="214"/>
      <c r="BK311" s="214"/>
      <c r="BL311" s="214"/>
      <c r="BM311" s="214"/>
      <c r="BN311" s="214"/>
      <c r="BO311" s="214"/>
      <c r="BP311" s="214"/>
      <c r="BQ311" s="214"/>
      <c r="BR311" s="214"/>
      <c r="BS311" s="214"/>
      <c r="BT311" s="214"/>
      <c r="BU311" s="214"/>
      <c r="BV311" s="214"/>
      <c r="BW311" s="214"/>
      <c r="BX311" s="214"/>
      <c r="BY311" s="214"/>
      <c r="BZ311" s="214"/>
      <c r="CA311" s="214"/>
      <c r="CB311" s="214"/>
      <c r="CC311" s="214"/>
      <c r="CD311" s="214"/>
      <c r="CE311" s="214"/>
      <c r="CF311" s="214"/>
      <c r="CG311" s="214"/>
      <c r="CH311" s="214"/>
      <c r="CI311" s="214"/>
      <c r="CJ311" s="214"/>
      <c r="CK311" s="214"/>
      <c r="CL311" s="214"/>
      <c r="CM311" s="214"/>
      <c r="CN311" s="214"/>
      <c r="CO311" s="214"/>
      <c r="CP311" s="214"/>
      <c r="CQ311" s="214"/>
      <c r="CR311" s="214"/>
      <c r="CS311" s="214"/>
      <c r="CT311" s="214"/>
      <c r="CU311" s="214"/>
      <c r="CV311" s="214"/>
      <c r="CW311" s="214"/>
      <c r="CX311" s="214"/>
      <c r="CY311" s="214"/>
      <c r="CZ311" s="214"/>
      <c r="DA311" s="214"/>
      <c r="DB311" s="214"/>
      <c r="DC311" s="214"/>
      <c r="DD311" s="214"/>
      <c r="DE311" s="214"/>
      <c r="DF311" s="214"/>
      <c r="DG311" s="214"/>
      <c r="DH311" s="214"/>
      <c r="DI311" s="214"/>
      <c r="DJ311" s="214"/>
      <c r="DK311" s="214"/>
      <c r="DL311" s="214"/>
      <c r="DM311" s="214"/>
      <c r="DN311" s="214"/>
      <c r="DO311" s="214"/>
      <c r="DP311" s="214"/>
      <c r="DQ311" s="214"/>
      <c r="DR311" s="214"/>
      <c r="DS311" s="214"/>
      <c r="DT311" s="214"/>
      <c r="DU311" s="214"/>
      <c r="DV311" s="214"/>
      <c r="DW311" s="214"/>
      <c r="DX311" s="214"/>
      <c r="DY311" s="214"/>
      <c r="DZ311" s="214"/>
      <c r="EA311" s="214"/>
      <c r="EB311" s="214"/>
      <c r="EC311" s="214"/>
    </row>
    <row r="312" spans="21:133" s="226" customFormat="1" x14ac:dyDescent="0.15"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14"/>
      <c r="AE312" s="214"/>
      <c r="AF312" s="214"/>
      <c r="AG312" s="214"/>
      <c r="AH312" s="214"/>
      <c r="AI312" s="214"/>
      <c r="AJ312" s="214"/>
      <c r="AK312" s="214"/>
      <c r="AL312" s="214"/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  <c r="BI312" s="214"/>
      <c r="BJ312" s="214"/>
      <c r="BK312" s="214"/>
      <c r="BL312" s="214"/>
      <c r="BM312" s="214"/>
      <c r="BN312" s="214"/>
      <c r="BO312" s="214"/>
      <c r="BP312" s="214"/>
      <c r="BQ312" s="214"/>
      <c r="BR312" s="214"/>
      <c r="BS312" s="214"/>
      <c r="BT312" s="214"/>
      <c r="BU312" s="214"/>
      <c r="BV312" s="214"/>
      <c r="BW312" s="214"/>
      <c r="BX312" s="214"/>
      <c r="BY312" s="214"/>
      <c r="BZ312" s="214"/>
      <c r="CA312" s="214"/>
      <c r="CB312" s="214"/>
      <c r="CC312" s="214"/>
      <c r="CD312" s="214"/>
      <c r="CE312" s="214"/>
      <c r="CF312" s="214"/>
      <c r="CG312" s="214"/>
      <c r="CH312" s="214"/>
      <c r="CI312" s="214"/>
      <c r="CJ312" s="214"/>
      <c r="CK312" s="214"/>
      <c r="CL312" s="214"/>
      <c r="CM312" s="214"/>
      <c r="CN312" s="214"/>
      <c r="CO312" s="214"/>
      <c r="CP312" s="214"/>
      <c r="CQ312" s="214"/>
      <c r="CR312" s="214"/>
      <c r="CS312" s="214"/>
      <c r="CT312" s="214"/>
      <c r="CU312" s="214"/>
      <c r="CV312" s="214"/>
      <c r="CW312" s="214"/>
      <c r="CX312" s="214"/>
      <c r="CY312" s="214"/>
      <c r="CZ312" s="214"/>
      <c r="DA312" s="214"/>
      <c r="DB312" s="214"/>
      <c r="DC312" s="214"/>
      <c r="DD312" s="214"/>
      <c r="DE312" s="214"/>
      <c r="DF312" s="214"/>
      <c r="DG312" s="214"/>
      <c r="DH312" s="214"/>
      <c r="DI312" s="214"/>
      <c r="DJ312" s="214"/>
      <c r="DK312" s="214"/>
      <c r="DL312" s="214"/>
      <c r="DM312" s="214"/>
      <c r="DN312" s="214"/>
      <c r="DO312" s="214"/>
      <c r="DP312" s="214"/>
      <c r="DQ312" s="214"/>
      <c r="DR312" s="214"/>
      <c r="DS312" s="214"/>
      <c r="DT312" s="214"/>
      <c r="DU312" s="214"/>
      <c r="DV312" s="214"/>
      <c r="DW312" s="214"/>
      <c r="DX312" s="214"/>
      <c r="DY312" s="214"/>
      <c r="DZ312" s="214"/>
      <c r="EA312" s="214"/>
      <c r="EB312" s="214"/>
      <c r="EC312" s="214"/>
    </row>
    <row r="313" spans="21:133" s="226" customFormat="1" x14ac:dyDescent="0.15"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14"/>
      <c r="AE313" s="214"/>
      <c r="AF313" s="214"/>
      <c r="AG313" s="214"/>
      <c r="AH313" s="214"/>
      <c r="AI313" s="214"/>
      <c r="AJ313" s="214"/>
      <c r="AK313" s="214"/>
      <c r="AL313" s="214"/>
      <c r="AM313" s="214"/>
      <c r="AN313" s="214"/>
      <c r="AO313" s="214"/>
      <c r="AP313" s="214"/>
      <c r="AQ313" s="214"/>
      <c r="AR313" s="214"/>
      <c r="AS313" s="214"/>
      <c r="AT313" s="214"/>
      <c r="AU313" s="214"/>
      <c r="AV313" s="214"/>
      <c r="AW313" s="214"/>
      <c r="AX313" s="214"/>
      <c r="AY313" s="214"/>
      <c r="AZ313" s="214"/>
      <c r="BA313" s="214"/>
      <c r="BB313" s="214"/>
      <c r="BC313" s="214"/>
      <c r="BD313" s="214"/>
      <c r="BE313" s="214"/>
      <c r="BF313" s="214"/>
      <c r="BG313" s="214"/>
      <c r="BH313" s="214"/>
      <c r="BI313" s="214"/>
      <c r="BJ313" s="214"/>
      <c r="BK313" s="214"/>
      <c r="BL313" s="214"/>
      <c r="BM313" s="214"/>
      <c r="BN313" s="214"/>
      <c r="BO313" s="214"/>
      <c r="BP313" s="214"/>
      <c r="BQ313" s="214"/>
      <c r="BR313" s="214"/>
      <c r="BS313" s="214"/>
      <c r="BT313" s="214"/>
      <c r="BU313" s="214"/>
      <c r="BV313" s="214"/>
      <c r="BW313" s="214"/>
      <c r="BX313" s="214"/>
      <c r="BY313" s="214"/>
      <c r="BZ313" s="214"/>
      <c r="CA313" s="214"/>
      <c r="CB313" s="214"/>
      <c r="CC313" s="214"/>
      <c r="CD313" s="214"/>
      <c r="CE313" s="214"/>
      <c r="CF313" s="214"/>
      <c r="CG313" s="214"/>
      <c r="CH313" s="214"/>
      <c r="CI313" s="214"/>
      <c r="CJ313" s="214"/>
      <c r="CK313" s="214"/>
      <c r="CL313" s="214"/>
      <c r="CM313" s="214"/>
      <c r="CN313" s="214"/>
      <c r="CO313" s="214"/>
      <c r="CP313" s="214"/>
      <c r="CQ313" s="214"/>
      <c r="CR313" s="214"/>
      <c r="CS313" s="214"/>
      <c r="CT313" s="214"/>
      <c r="CU313" s="214"/>
      <c r="CV313" s="214"/>
      <c r="CW313" s="214"/>
      <c r="CX313" s="214"/>
      <c r="CY313" s="214"/>
      <c r="CZ313" s="214"/>
      <c r="DA313" s="214"/>
      <c r="DB313" s="214"/>
      <c r="DC313" s="214"/>
      <c r="DD313" s="214"/>
      <c r="DE313" s="214"/>
      <c r="DF313" s="214"/>
      <c r="DG313" s="214"/>
      <c r="DH313" s="214"/>
      <c r="DI313" s="214"/>
      <c r="DJ313" s="214"/>
      <c r="DK313" s="214"/>
      <c r="DL313" s="214"/>
      <c r="DM313" s="214"/>
      <c r="DN313" s="214"/>
      <c r="DO313" s="214"/>
      <c r="DP313" s="214"/>
      <c r="DQ313" s="214"/>
      <c r="DR313" s="214"/>
      <c r="DS313" s="214"/>
      <c r="DT313" s="214"/>
      <c r="DU313" s="214"/>
      <c r="DV313" s="214"/>
      <c r="DW313" s="214"/>
      <c r="DX313" s="214"/>
      <c r="DY313" s="214"/>
      <c r="DZ313" s="214"/>
      <c r="EA313" s="214"/>
      <c r="EB313" s="214"/>
      <c r="EC313" s="214"/>
    </row>
    <row r="314" spans="21:133" s="226" customFormat="1" x14ac:dyDescent="0.15"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  <c r="BI314" s="214"/>
      <c r="BJ314" s="214"/>
      <c r="BK314" s="214"/>
      <c r="BL314" s="214"/>
      <c r="BM314" s="214"/>
      <c r="BN314" s="214"/>
      <c r="BO314" s="214"/>
      <c r="BP314" s="214"/>
      <c r="BQ314" s="214"/>
      <c r="BR314" s="214"/>
      <c r="BS314" s="214"/>
      <c r="BT314" s="214"/>
      <c r="BU314" s="214"/>
      <c r="BV314" s="214"/>
      <c r="BW314" s="214"/>
      <c r="BX314" s="214"/>
      <c r="BY314" s="214"/>
      <c r="BZ314" s="214"/>
      <c r="CA314" s="214"/>
      <c r="CB314" s="214"/>
      <c r="CC314" s="214"/>
      <c r="CD314" s="214"/>
      <c r="CE314" s="214"/>
      <c r="CF314" s="214"/>
      <c r="CG314" s="214"/>
      <c r="CH314" s="214"/>
      <c r="CI314" s="214"/>
      <c r="CJ314" s="214"/>
      <c r="CK314" s="214"/>
      <c r="CL314" s="214"/>
      <c r="CM314" s="214"/>
      <c r="CN314" s="214"/>
      <c r="CO314" s="214"/>
      <c r="CP314" s="214"/>
      <c r="CQ314" s="214"/>
      <c r="CR314" s="214"/>
      <c r="CS314" s="214"/>
      <c r="CT314" s="214"/>
      <c r="CU314" s="214"/>
      <c r="CV314" s="214"/>
      <c r="CW314" s="214"/>
      <c r="CX314" s="214"/>
      <c r="CY314" s="214"/>
      <c r="CZ314" s="214"/>
      <c r="DA314" s="214"/>
      <c r="DB314" s="214"/>
      <c r="DC314" s="214"/>
      <c r="DD314" s="214"/>
      <c r="DE314" s="214"/>
      <c r="DF314" s="214"/>
      <c r="DG314" s="214"/>
      <c r="DH314" s="214"/>
      <c r="DI314" s="214"/>
      <c r="DJ314" s="214"/>
      <c r="DK314" s="214"/>
      <c r="DL314" s="214"/>
      <c r="DM314" s="214"/>
      <c r="DN314" s="214"/>
      <c r="DO314" s="214"/>
      <c r="DP314" s="214"/>
      <c r="DQ314" s="214"/>
      <c r="DR314" s="214"/>
      <c r="DS314" s="214"/>
      <c r="DT314" s="214"/>
      <c r="DU314" s="214"/>
      <c r="DV314" s="214"/>
      <c r="DW314" s="214"/>
      <c r="DX314" s="214"/>
      <c r="DY314" s="214"/>
      <c r="DZ314" s="214"/>
      <c r="EA314" s="214"/>
      <c r="EB314" s="214"/>
      <c r="EC314" s="214"/>
    </row>
    <row r="315" spans="21:133" s="226" customFormat="1" x14ac:dyDescent="0.15"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  <c r="CM315" s="214"/>
      <c r="CN315" s="214"/>
      <c r="CO315" s="214"/>
      <c r="CP315" s="214"/>
      <c r="CQ315" s="214"/>
      <c r="CR315" s="214"/>
      <c r="CS315" s="214"/>
      <c r="CT315" s="214"/>
      <c r="CU315" s="214"/>
      <c r="CV315" s="214"/>
      <c r="CW315" s="214"/>
      <c r="CX315" s="214"/>
      <c r="CY315" s="214"/>
      <c r="CZ315" s="214"/>
      <c r="DA315" s="214"/>
      <c r="DB315" s="214"/>
      <c r="DC315" s="214"/>
      <c r="DD315" s="214"/>
      <c r="DE315" s="214"/>
      <c r="DF315" s="214"/>
      <c r="DG315" s="214"/>
      <c r="DH315" s="214"/>
      <c r="DI315" s="214"/>
      <c r="DJ315" s="214"/>
      <c r="DK315" s="214"/>
      <c r="DL315" s="214"/>
      <c r="DM315" s="214"/>
      <c r="DN315" s="214"/>
      <c r="DO315" s="214"/>
      <c r="DP315" s="214"/>
      <c r="DQ315" s="214"/>
      <c r="DR315" s="214"/>
      <c r="DS315" s="214"/>
      <c r="DT315" s="214"/>
      <c r="DU315" s="214"/>
      <c r="DV315" s="214"/>
      <c r="DW315" s="214"/>
      <c r="DX315" s="214"/>
      <c r="DY315" s="214"/>
      <c r="DZ315" s="214"/>
      <c r="EA315" s="214"/>
      <c r="EB315" s="214"/>
      <c r="EC315" s="214"/>
    </row>
    <row r="316" spans="21:133" s="226" customFormat="1" x14ac:dyDescent="0.15"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4"/>
      <c r="BN316" s="214"/>
      <c r="BO316" s="214"/>
      <c r="BP316" s="214"/>
      <c r="BQ316" s="214"/>
      <c r="BR316" s="214"/>
      <c r="BS316" s="214"/>
      <c r="BT316" s="214"/>
      <c r="BU316" s="214"/>
      <c r="BV316" s="214"/>
      <c r="BW316" s="214"/>
      <c r="BX316" s="214"/>
      <c r="BY316" s="214"/>
      <c r="BZ316" s="214"/>
      <c r="CA316" s="214"/>
      <c r="CB316" s="214"/>
      <c r="CC316" s="214"/>
      <c r="CD316" s="214"/>
      <c r="CE316" s="214"/>
      <c r="CF316" s="214"/>
      <c r="CG316" s="214"/>
      <c r="CH316" s="214"/>
      <c r="CI316" s="214"/>
      <c r="CJ316" s="214"/>
      <c r="CK316" s="214"/>
      <c r="CL316" s="214"/>
      <c r="CM316" s="214"/>
      <c r="CN316" s="214"/>
      <c r="CO316" s="214"/>
      <c r="CP316" s="214"/>
      <c r="CQ316" s="214"/>
      <c r="CR316" s="214"/>
      <c r="CS316" s="214"/>
      <c r="CT316" s="214"/>
      <c r="CU316" s="214"/>
      <c r="CV316" s="214"/>
      <c r="CW316" s="214"/>
      <c r="CX316" s="214"/>
      <c r="CY316" s="214"/>
      <c r="CZ316" s="214"/>
      <c r="DA316" s="214"/>
      <c r="DB316" s="214"/>
      <c r="DC316" s="214"/>
      <c r="DD316" s="214"/>
      <c r="DE316" s="214"/>
      <c r="DF316" s="214"/>
      <c r="DG316" s="214"/>
      <c r="DH316" s="214"/>
      <c r="DI316" s="214"/>
      <c r="DJ316" s="214"/>
      <c r="DK316" s="214"/>
      <c r="DL316" s="214"/>
      <c r="DM316" s="214"/>
      <c r="DN316" s="214"/>
      <c r="DO316" s="214"/>
      <c r="DP316" s="214"/>
      <c r="DQ316" s="214"/>
      <c r="DR316" s="214"/>
      <c r="DS316" s="214"/>
      <c r="DT316" s="214"/>
      <c r="DU316" s="214"/>
      <c r="DV316" s="214"/>
      <c r="DW316" s="214"/>
      <c r="DX316" s="214"/>
      <c r="DY316" s="214"/>
      <c r="DZ316" s="214"/>
      <c r="EA316" s="214"/>
      <c r="EB316" s="214"/>
      <c r="EC316" s="214"/>
    </row>
    <row r="317" spans="21:133" s="226" customFormat="1" x14ac:dyDescent="0.15"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4"/>
      <c r="BN317" s="214"/>
      <c r="BO317" s="214"/>
      <c r="BP317" s="214"/>
      <c r="BQ317" s="214"/>
      <c r="BR317" s="214"/>
      <c r="BS317" s="214"/>
      <c r="BT317" s="214"/>
      <c r="BU317" s="214"/>
      <c r="BV317" s="214"/>
      <c r="BW317" s="214"/>
      <c r="BX317" s="214"/>
      <c r="BY317" s="214"/>
      <c r="BZ317" s="214"/>
      <c r="CA317" s="214"/>
      <c r="CB317" s="214"/>
      <c r="CC317" s="214"/>
      <c r="CD317" s="214"/>
      <c r="CE317" s="214"/>
      <c r="CF317" s="214"/>
      <c r="CG317" s="214"/>
      <c r="CH317" s="214"/>
      <c r="CI317" s="214"/>
      <c r="CJ317" s="214"/>
      <c r="CK317" s="214"/>
      <c r="CL317" s="214"/>
      <c r="CM317" s="214"/>
      <c r="CN317" s="214"/>
      <c r="CO317" s="214"/>
      <c r="CP317" s="214"/>
      <c r="CQ317" s="214"/>
      <c r="CR317" s="214"/>
      <c r="CS317" s="214"/>
      <c r="CT317" s="214"/>
      <c r="CU317" s="214"/>
      <c r="CV317" s="214"/>
      <c r="CW317" s="214"/>
      <c r="CX317" s="214"/>
      <c r="CY317" s="214"/>
      <c r="CZ317" s="214"/>
      <c r="DA317" s="214"/>
      <c r="DB317" s="214"/>
      <c r="DC317" s="214"/>
      <c r="DD317" s="214"/>
      <c r="DE317" s="214"/>
      <c r="DF317" s="214"/>
      <c r="DG317" s="214"/>
      <c r="DH317" s="214"/>
      <c r="DI317" s="214"/>
      <c r="DJ317" s="214"/>
      <c r="DK317" s="214"/>
      <c r="DL317" s="214"/>
      <c r="DM317" s="214"/>
      <c r="DN317" s="214"/>
      <c r="DO317" s="214"/>
      <c r="DP317" s="214"/>
      <c r="DQ317" s="214"/>
      <c r="DR317" s="214"/>
      <c r="DS317" s="214"/>
      <c r="DT317" s="214"/>
      <c r="DU317" s="214"/>
      <c r="DV317" s="214"/>
      <c r="DW317" s="214"/>
      <c r="DX317" s="214"/>
      <c r="DY317" s="214"/>
      <c r="DZ317" s="214"/>
      <c r="EA317" s="214"/>
      <c r="EB317" s="214"/>
      <c r="EC317" s="214"/>
    </row>
    <row r="318" spans="21:133" s="226" customFormat="1" x14ac:dyDescent="0.15"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14"/>
      <c r="BN318" s="214"/>
      <c r="BO318" s="214"/>
      <c r="BP318" s="214"/>
      <c r="BQ318" s="214"/>
      <c r="BR318" s="214"/>
      <c r="BS318" s="214"/>
      <c r="BT318" s="214"/>
      <c r="BU318" s="214"/>
      <c r="BV318" s="214"/>
      <c r="BW318" s="214"/>
      <c r="BX318" s="214"/>
      <c r="BY318" s="214"/>
      <c r="BZ318" s="214"/>
      <c r="CA318" s="214"/>
      <c r="CB318" s="214"/>
      <c r="CC318" s="214"/>
      <c r="CD318" s="214"/>
      <c r="CE318" s="214"/>
      <c r="CF318" s="214"/>
      <c r="CG318" s="214"/>
      <c r="CH318" s="214"/>
      <c r="CI318" s="214"/>
      <c r="CJ318" s="214"/>
      <c r="CK318" s="214"/>
      <c r="CL318" s="214"/>
      <c r="CM318" s="214"/>
      <c r="CN318" s="214"/>
      <c r="CO318" s="214"/>
      <c r="CP318" s="214"/>
      <c r="CQ318" s="214"/>
      <c r="CR318" s="214"/>
      <c r="CS318" s="214"/>
      <c r="CT318" s="214"/>
      <c r="CU318" s="214"/>
      <c r="CV318" s="214"/>
      <c r="CW318" s="214"/>
      <c r="CX318" s="214"/>
      <c r="CY318" s="214"/>
      <c r="CZ318" s="214"/>
      <c r="DA318" s="214"/>
      <c r="DB318" s="214"/>
      <c r="DC318" s="214"/>
      <c r="DD318" s="214"/>
      <c r="DE318" s="214"/>
      <c r="DF318" s="214"/>
      <c r="DG318" s="214"/>
      <c r="DH318" s="214"/>
      <c r="DI318" s="214"/>
      <c r="DJ318" s="214"/>
      <c r="DK318" s="214"/>
      <c r="DL318" s="214"/>
      <c r="DM318" s="214"/>
      <c r="DN318" s="214"/>
      <c r="DO318" s="214"/>
      <c r="DP318" s="214"/>
      <c r="DQ318" s="214"/>
      <c r="DR318" s="214"/>
      <c r="DS318" s="214"/>
      <c r="DT318" s="214"/>
      <c r="DU318" s="214"/>
      <c r="DV318" s="214"/>
      <c r="DW318" s="214"/>
      <c r="DX318" s="214"/>
      <c r="DY318" s="214"/>
      <c r="DZ318" s="214"/>
      <c r="EA318" s="214"/>
      <c r="EB318" s="214"/>
      <c r="EC318" s="214"/>
    </row>
    <row r="319" spans="21:133" s="226" customFormat="1" x14ac:dyDescent="0.15"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14"/>
      <c r="AE319" s="214"/>
      <c r="AF319" s="214"/>
      <c r="AG319" s="214"/>
      <c r="AH319" s="214"/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  <c r="BI319" s="214"/>
      <c r="BJ319" s="214"/>
      <c r="BK319" s="214"/>
      <c r="BL319" s="214"/>
      <c r="BM319" s="214"/>
      <c r="BN319" s="214"/>
      <c r="BO319" s="214"/>
      <c r="BP319" s="214"/>
      <c r="BQ319" s="214"/>
      <c r="BR319" s="214"/>
      <c r="BS319" s="214"/>
      <c r="BT319" s="214"/>
      <c r="BU319" s="214"/>
      <c r="BV319" s="214"/>
      <c r="BW319" s="214"/>
      <c r="BX319" s="214"/>
      <c r="BY319" s="214"/>
      <c r="BZ319" s="214"/>
      <c r="CA319" s="214"/>
      <c r="CB319" s="214"/>
      <c r="CC319" s="214"/>
      <c r="CD319" s="214"/>
      <c r="CE319" s="214"/>
      <c r="CF319" s="214"/>
      <c r="CG319" s="214"/>
      <c r="CH319" s="214"/>
      <c r="CI319" s="214"/>
      <c r="CJ319" s="214"/>
      <c r="CK319" s="214"/>
      <c r="CL319" s="214"/>
      <c r="CM319" s="214"/>
      <c r="CN319" s="214"/>
      <c r="CO319" s="214"/>
      <c r="CP319" s="214"/>
      <c r="CQ319" s="214"/>
      <c r="CR319" s="214"/>
      <c r="CS319" s="214"/>
      <c r="CT319" s="214"/>
      <c r="CU319" s="214"/>
      <c r="CV319" s="214"/>
      <c r="CW319" s="214"/>
      <c r="CX319" s="214"/>
      <c r="CY319" s="214"/>
      <c r="CZ319" s="214"/>
      <c r="DA319" s="214"/>
      <c r="DB319" s="214"/>
      <c r="DC319" s="214"/>
      <c r="DD319" s="214"/>
      <c r="DE319" s="214"/>
      <c r="DF319" s="214"/>
      <c r="DG319" s="214"/>
      <c r="DH319" s="214"/>
      <c r="DI319" s="214"/>
      <c r="DJ319" s="214"/>
      <c r="DK319" s="214"/>
      <c r="DL319" s="214"/>
      <c r="DM319" s="214"/>
      <c r="DN319" s="214"/>
      <c r="DO319" s="214"/>
      <c r="DP319" s="214"/>
      <c r="DQ319" s="214"/>
      <c r="DR319" s="214"/>
      <c r="DS319" s="214"/>
      <c r="DT319" s="214"/>
      <c r="DU319" s="214"/>
      <c r="DV319" s="214"/>
      <c r="DW319" s="214"/>
      <c r="DX319" s="214"/>
      <c r="DY319" s="214"/>
      <c r="DZ319" s="214"/>
      <c r="EA319" s="214"/>
      <c r="EB319" s="214"/>
      <c r="EC319" s="214"/>
    </row>
    <row r="320" spans="21:133" s="226" customFormat="1" x14ac:dyDescent="0.15"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14"/>
      <c r="AE320" s="214"/>
      <c r="AF320" s="214"/>
      <c r="AG320" s="214"/>
      <c r="AH320" s="214"/>
      <c r="AI320" s="214"/>
      <c r="AJ320" s="214"/>
      <c r="AK320" s="214"/>
      <c r="AL320" s="214"/>
      <c r="AM320" s="214"/>
      <c r="AN320" s="214"/>
      <c r="AO320" s="214"/>
      <c r="AP320" s="214"/>
      <c r="AQ320" s="214"/>
      <c r="AR320" s="214"/>
      <c r="AS320" s="214"/>
      <c r="AT320" s="214"/>
      <c r="AU320" s="214"/>
      <c r="AV320" s="214"/>
      <c r="AW320" s="214"/>
      <c r="AX320" s="214"/>
      <c r="AY320" s="214"/>
      <c r="AZ320" s="214"/>
      <c r="BA320" s="214"/>
      <c r="BB320" s="214"/>
      <c r="BC320" s="214"/>
      <c r="BD320" s="214"/>
      <c r="BE320" s="214"/>
      <c r="BF320" s="214"/>
      <c r="BG320" s="214"/>
      <c r="BH320" s="214"/>
      <c r="BI320" s="214"/>
      <c r="BJ320" s="214"/>
      <c r="BK320" s="214"/>
      <c r="BL320" s="214"/>
      <c r="BM320" s="214"/>
      <c r="BN320" s="214"/>
      <c r="BO320" s="214"/>
      <c r="BP320" s="214"/>
      <c r="BQ320" s="214"/>
      <c r="BR320" s="214"/>
      <c r="BS320" s="214"/>
      <c r="BT320" s="214"/>
      <c r="BU320" s="214"/>
      <c r="BV320" s="214"/>
      <c r="BW320" s="214"/>
      <c r="BX320" s="214"/>
      <c r="BY320" s="214"/>
      <c r="BZ320" s="214"/>
      <c r="CA320" s="214"/>
      <c r="CB320" s="214"/>
      <c r="CC320" s="214"/>
      <c r="CD320" s="214"/>
      <c r="CE320" s="214"/>
      <c r="CF320" s="214"/>
      <c r="CG320" s="214"/>
      <c r="CH320" s="214"/>
      <c r="CI320" s="214"/>
      <c r="CJ320" s="214"/>
      <c r="CK320" s="214"/>
      <c r="CL320" s="214"/>
      <c r="CM320" s="214"/>
      <c r="CN320" s="214"/>
      <c r="CO320" s="214"/>
      <c r="CP320" s="214"/>
      <c r="CQ320" s="214"/>
      <c r="CR320" s="214"/>
      <c r="CS320" s="214"/>
      <c r="CT320" s="214"/>
      <c r="CU320" s="214"/>
      <c r="CV320" s="214"/>
      <c r="CW320" s="214"/>
      <c r="CX320" s="214"/>
      <c r="CY320" s="214"/>
      <c r="CZ320" s="214"/>
      <c r="DA320" s="214"/>
      <c r="DB320" s="214"/>
      <c r="DC320" s="214"/>
      <c r="DD320" s="214"/>
      <c r="DE320" s="214"/>
      <c r="DF320" s="214"/>
      <c r="DG320" s="214"/>
      <c r="DH320" s="214"/>
      <c r="DI320" s="214"/>
      <c r="DJ320" s="214"/>
      <c r="DK320" s="214"/>
      <c r="DL320" s="214"/>
      <c r="DM320" s="214"/>
      <c r="DN320" s="214"/>
      <c r="DO320" s="214"/>
      <c r="DP320" s="214"/>
      <c r="DQ320" s="214"/>
      <c r="DR320" s="214"/>
      <c r="DS320" s="214"/>
      <c r="DT320" s="214"/>
      <c r="DU320" s="214"/>
      <c r="DV320" s="214"/>
      <c r="DW320" s="214"/>
      <c r="DX320" s="214"/>
      <c r="DY320" s="214"/>
      <c r="DZ320" s="214"/>
      <c r="EA320" s="214"/>
      <c r="EB320" s="214"/>
      <c r="EC320" s="214"/>
    </row>
    <row r="321" spans="21:133" s="226" customFormat="1" x14ac:dyDescent="0.15"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14"/>
      <c r="AE321" s="214"/>
      <c r="AF321" s="214"/>
      <c r="AG321" s="214"/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  <c r="BI321" s="214"/>
      <c r="BJ321" s="214"/>
      <c r="BK321" s="214"/>
      <c r="BL321" s="214"/>
      <c r="BM321" s="214"/>
      <c r="BN321" s="214"/>
      <c r="BO321" s="214"/>
      <c r="BP321" s="214"/>
      <c r="BQ321" s="214"/>
      <c r="BR321" s="214"/>
      <c r="BS321" s="214"/>
      <c r="BT321" s="214"/>
      <c r="BU321" s="214"/>
      <c r="BV321" s="214"/>
      <c r="BW321" s="214"/>
      <c r="BX321" s="214"/>
      <c r="BY321" s="214"/>
      <c r="BZ321" s="214"/>
      <c r="CA321" s="214"/>
      <c r="CB321" s="214"/>
      <c r="CC321" s="214"/>
      <c r="CD321" s="214"/>
      <c r="CE321" s="214"/>
      <c r="CF321" s="214"/>
      <c r="CG321" s="214"/>
      <c r="CH321" s="214"/>
      <c r="CI321" s="214"/>
      <c r="CJ321" s="214"/>
      <c r="CK321" s="214"/>
      <c r="CL321" s="214"/>
      <c r="CM321" s="214"/>
      <c r="CN321" s="214"/>
      <c r="CO321" s="214"/>
      <c r="CP321" s="214"/>
      <c r="CQ321" s="214"/>
      <c r="CR321" s="214"/>
      <c r="CS321" s="214"/>
      <c r="CT321" s="214"/>
      <c r="CU321" s="214"/>
      <c r="CV321" s="214"/>
      <c r="CW321" s="214"/>
      <c r="CX321" s="214"/>
      <c r="CY321" s="214"/>
      <c r="CZ321" s="214"/>
      <c r="DA321" s="214"/>
      <c r="DB321" s="214"/>
      <c r="DC321" s="214"/>
      <c r="DD321" s="214"/>
      <c r="DE321" s="214"/>
      <c r="DF321" s="214"/>
      <c r="DG321" s="214"/>
      <c r="DH321" s="214"/>
      <c r="DI321" s="214"/>
      <c r="DJ321" s="214"/>
      <c r="DK321" s="214"/>
      <c r="DL321" s="214"/>
      <c r="DM321" s="214"/>
      <c r="DN321" s="214"/>
      <c r="DO321" s="214"/>
      <c r="DP321" s="214"/>
      <c r="DQ321" s="214"/>
      <c r="DR321" s="214"/>
      <c r="DS321" s="214"/>
      <c r="DT321" s="214"/>
      <c r="DU321" s="214"/>
      <c r="DV321" s="214"/>
      <c r="DW321" s="214"/>
      <c r="DX321" s="214"/>
      <c r="DY321" s="214"/>
      <c r="DZ321" s="214"/>
      <c r="EA321" s="214"/>
      <c r="EB321" s="214"/>
      <c r="EC321" s="214"/>
    </row>
    <row r="322" spans="21:133" s="226" customFormat="1" x14ac:dyDescent="0.15"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14"/>
      <c r="AE322" s="214"/>
      <c r="AF322" s="214"/>
      <c r="AG322" s="214"/>
      <c r="AH322" s="214"/>
      <c r="AI322" s="214"/>
      <c r="AJ322" s="214"/>
      <c r="AK322" s="214"/>
      <c r="AL322" s="214"/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  <c r="BI322" s="214"/>
      <c r="BJ322" s="214"/>
      <c r="BK322" s="214"/>
      <c r="BL322" s="214"/>
      <c r="BM322" s="214"/>
      <c r="BN322" s="214"/>
      <c r="BO322" s="214"/>
      <c r="BP322" s="214"/>
      <c r="BQ322" s="214"/>
      <c r="BR322" s="214"/>
      <c r="BS322" s="214"/>
      <c r="BT322" s="214"/>
      <c r="BU322" s="214"/>
      <c r="BV322" s="214"/>
      <c r="BW322" s="214"/>
      <c r="BX322" s="214"/>
      <c r="BY322" s="214"/>
      <c r="BZ322" s="214"/>
      <c r="CA322" s="214"/>
      <c r="CB322" s="214"/>
      <c r="CC322" s="214"/>
      <c r="CD322" s="214"/>
      <c r="CE322" s="214"/>
      <c r="CF322" s="214"/>
      <c r="CG322" s="214"/>
      <c r="CH322" s="214"/>
      <c r="CI322" s="214"/>
      <c r="CJ322" s="214"/>
      <c r="CK322" s="214"/>
      <c r="CL322" s="214"/>
      <c r="CM322" s="214"/>
      <c r="CN322" s="214"/>
      <c r="CO322" s="214"/>
      <c r="CP322" s="214"/>
      <c r="CQ322" s="214"/>
      <c r="CR322" s="214"/>
      <c r="CS322" s="214"/>
      <c r="CT322" s="214"/>
      <c r="CU322" s="214"/>
      <c r="CV322" s="214"/>
      <c r="CW322" s="214"/>
      <c r="CX322" s="214"/>
      <c r="CY322" s="214"/>
      <c r="CZ322" s="214"/>
      <c r="DA322" s="214"/>
      <c r="DB322" s="214"/>
      <c r="DC322" s="214"/>
      <c r="DD322" s="214"/>
      <c r="DE322" s="214"/>
      <c r="DF322" s="214"/>
      <c r="DG322" s="214"/>
      <c r="DH322" s="214"/>
      <c r="DI322" s="214"/>
      <c r="DJ322" s="214"/>
      <c r="DK322" s="214"/>
      <c r="DL322" s="214"/>
      <c r="DM322" s="214"/>
      <c r="DN322" s="214"/>
      <c r="DO322" s="214"/>
      <c r="DP322" s="214"/>
      <c r="DQ322" s="214"/>
      <c r="DR322" s="214"/>
      <c r="DS322" s="214"/>
      <c r="DT322" s="214"/>
      <c r="DU322" s="214"/>
      <c r="DV322" s="214"/>
      <c r="DW322" s="214"/>
      <c r="DX322" s="214"/>
      <c r="DY322" s="214"/>
      <c r="DZ322" s="214"/>
      <c r="EA322" s="214"/>
      <c r="EB322" s="214"/>
      <c r="EC322" s="214"/>
    </row>
    <row r="323" spans="21:133" s="226" customFormat="1" x14ac:dyDescent="0.15"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14"/>
      <c r="AE323" s="214"/>
      <c r="AF323" s="214"/>
      <c r="AG323" s="214"/>
      <c r="AH323" s="214"/>
      <c r="AI323" s="214"/>
      <c r="AJ323" s="214"/>
      <c r="AK323" s="214"/>
      <c r="AL323" s="214"/>
      <c r="AM323" s="214"/>
      <c r="AN323" s="214"/>
      <c r="AO323" s="214"/>
      <c r="AP323" s="214"/>
      <c r="AQ323" s="214"/>
      <c r="AR323" s="214"/>
      <c r="AS323" s="214"/>
      <c r="AT323" s="214"/>
      <c r="AU323" s="214"/>
      <c r="AV323" s="214"/>
      <c r="AW323" s="214"/>
      <c r="AX323" s="214"/>
      <c r="AY323" s="214"/>
      <c r="AZ323" s="214"/>
      <c r="BA323" s="214"/>
      <c r="BB323" s="214"/>
      <c r="BC323" s="214"/>
      <c r="BD323" s="214"/>
      <c r="BE323" s="214"/>
      <c r="BF323" s="214"/>
      <c r="BG323" s="214"/>
      <c r="BH323" s="214"/>
      <c r="BI323" s="214"/>
      <c r="BJ323" s="214"/>
      <c r="BK323" s="214"/>
      <c r="BL323" s="214"/>
      <c r="BM323" s="214"/>
      <c r="BN323" s="214"/>
      <c r="BO323" s="214"/>
      <c r="BP323" s="214"/>
      <c r="BQ323" s="214"/>
      <c r="BR323" s="214"/>
      <c r="BS323" s="214"/>
      <c r="BT323" s="214"/>
      <c r="BU323" s="214"/>
      <c r="BV323" s="214"/>
      <c r="BW323" s="214"/>
      <c r="BX323" s="214"/>
      <c r="BY323" s="214"/>
      <c r="BZ323" s="214"/>
      <c r="CA323" s="214"/>
      <c r="CB323" s="214"/>
      <c r="CC323" s="214"/>
      <c r="CD323" s="214"/>
      <c r="CE323" s="214"/>
      <c r="CF323" s="214"/>
      <c r="CG323" s="214"/>
      <c r="CH323" s="214"/>
      <c r="CI323" s="214"/>
      <c r="CJ323" s="214"/>
      <c r="CK323" s="214"/>
      <c r="CL323" s="214"/>
      <c r="CM323" s="214"/>
      <c r="CN323" s="214"/>
      <c r="CO323" s="214"/>
      <c r="CP323" s="214"/>
      <c r="CQ323" s="214"/>
      <c r="CR323" s="214"/>
      <c r="CS323" s="214"/>
      <c r="CT323" s="214"/>
      <c r="CU323" s="214"/>
      <c r="CV323" s="214"/>
      <c r="CW323" s="214"/>
      <c r="CX323" s="214"/>
      <c r="CY323" s="214"/>
      <c r="CZ323" s="214"/>
      <c r="DA323" s="214"/>
      <c r="DB323" s="214"/>
      <c r="DC323" s="214"/>
      <c r="DD323" s="214"/>
      <c r="DE323" s="214"/>
      <c r="DF323" s="214"/>
      <c r="DG323" s="214"/>
      <c r="DH323" s="214"/>
      <c r="DI323" s="214"/>
      <c r="DJ323" s="214"/>
      <c r="DK323" s="214"/>
      <c r="DL323" s="214"/>
      <c r="DM323" s="214"/>
      <c r="DN323" s="214"/>
      <c r="DO323" s="214"/>
      <c r="DP323" s="214"/>
      <c r="DQ323" s="214"/>
      <c r="DR323" s="214"/>
      <c r="DS323" s="214"/>
      <c r="DT323" s="214"/>
      <c r="DU323" s="214"/>
      <c r="DV323" s="214"/>
      <c r="DW323" s="214"/>
      <c r="DX323" s="214"/>
      <c r="DY323" s="214"/>
      <c r="DZ323" s="214"/>
      <c r="EA323" s="214"/>
      <c r="EB323" s="214"/>
      <c r="EC323" s="214"/>
    </row>
    <row r="324" spans="21:133" s="226" customFormat="1" x14ac:dyDescent="0.15"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14"/>
      <c r="AE324" s="214"/>
      <c r="AF324" s="214"/>
      <c r="AG324" s="214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  <c r="BI324" s="214"/>
      <c r="BJ324" s="214"/>
      <c r="BK324" s="214"/>
      <c r="BL324" s="214"/>
      <c r="BM324" s="214"/>
      <c r="BN324" s="214"/>
      <c r="BO324" s="214"/>
      <c r="BP324" s="214"/>
      <c r="BQ324" s="214"/>
      <c r="BR324" s="214"/>
      <c r="BS324" s="214"/>
      <c r="BT324" s="214"/>
      <c r="BU324" s="214"/>
      <c r="BV324" s="214"/>
      <c r="BW324" s="214"/>
      <c r="BX324" s="214"/>
      <c r="BY324" s="214"/>
      <c r="BZ324" s="214"/>
      <c r="CA324" s="214"/>
      <c r="CB324" s="214"/>
      <c r="CC324" s="214"/>
      <c r="CD324" s="214"/>
      <c r="CE324" s="214"/>
      <c r="CF324" s="214"/>
      <c r="CG324" s="214"/>
      <c r="CH324" s="214"/>
      <c r="CI324" s="214"/>
      <c r="CJ324" s="214"/>
      <c r="CK324" s="214"/>
      <c r="CL324" s="214"/>
      <c r="CM324" s="214"/>
      <c r="CN324" s="214"/>
      <c r="CO324" s="214"/>
      <c r="CP324" s="214"/>
      <c r="CQ324" s="214"/>
      <c r="CR324" s="214"/>
      <c r="CS324" s="214"/>
      <c r="CT324" s="214"/>
      <c r="CU324" s="214"/>
      <c r="CV324" s="214"/>
      <c r="CW324" s="214"/>
      <c r="CX324" s="214"/>
      <c r="CY324" s="214"/>
      <c r="CZ324" s="214"/>
      <c r="DA324" s="214"/>
      <c r="DB324" s="214"/>
      <c r="DC324" s="214"/>
      <c r="DD324" s="214"/>
      <c r="DE324" s="214"/>
      <c r="DF324" s="214"/>
      <c r="DG324" s="214"/>
      <c r="DH324" s="214"/>
      <c r="DI324" s="214"/>
      <c r="DJ324" s="214"/>
      <c r="DK324" s="214"/>
      <c r="DL324" s="214"/>
      <c r="DM324" s="214"/>
      <c r="DN324" s="214"/>
      <c r="DO324" s="214"/>
      <c r="DP324" s="214"/>
      <c r="DQ324" s="214"/>
      <c r="DR324" s="214"/>
      <c r="DS324" s="214"/>
      <c r="DT324" s="214"/>
      <c r="DU324" s="214"/>
      <c r="DV324" s="214"/>
      <c r="DW324" s="214"/>
      <c r="DX324" s="214"/>
      <c r="DY324" s="214"/>
      <c r="DZ324" s="214"/>
      <c r="EA324" s="214"/>
      <c r="EB324" s="214"/>
      <c r="EC324" s="214"/>
    </row>
    <row r="325" spans="21:133" s="226" customFormat="1" x14ac:dyDescent="0.15"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14"/>
      <c r="AE325" s="214"/>
      <c r="AF325" s="214"/>
      <c r="AG325" s="214"/>
      <c r="AH325" s="214"/>
      <c r="AI325" s="214"/>
      <c r="AJ325" s="214"/>
      <c r="AK325" s="214"/>
      <c r="AL325" s="214"/>
      <c r="AM325" s="214"/>
      <c r="AN325" s="214"/>
      <c r="AO325" s="214"/>
      <c r="AP325" s="214"/>
      <c r="AQ325" s="214"/>
      <c r="AR325" s="214"/>
      <c r="AS325" s="214"/>
      <c r="AT325" s="214"/>
      <c r="AU325" s="214"/>
      <c r="AV325" s="214"/>
      <c r="AW325" s="214"/>
      <c r="AX325" s="214"/>
      <c r="AY325" s="214"/>
      <c r="AZ325" s="214"/>
      <c r="BA325" s="214"/>
      <c r="BB325" s="214"/>
      <c r="BC325" s="214"/>
      <c r="BD325" s="214"/>
      <c r="BE325" s="214"/>
      <c r="BF325" s="214"/>
      <c r="BG325" s="214"/>
      <c r="BH325" s="214"/>
      <c r="BI325" s="214"/>
      <c r="BJ325" s="214"/>
      <c r="BK325" s="214"/>
      <c r="BL325" s="214"/>
      <c r="BM325" s="214"/>
      <c r="BN325" s="214"/>
      <c r="BO325" s="214"/>
      <c r="BP325" s="214"/>
      <c r="BQ325" s="214"/>
      <c r="BR325" s="214"/>
      <c r="BS325" s="214"/>
      <c r="BT325" s="214"/>
      <c r="BU325" s="214"/>
      <c r="BV325" s="214"/>
      <c r="BW325" s="214"/>
      <c r="BX325" s="214"/>
      <c r="BY325" s="214"/>
      <c r="BZ325" s="214"/>
      <c r="CA325" s="214"/>
      <c r="CB325" s="214"/>
      <c r="CC325" s="214"/>
      <c r="CD325" s="214"/>
      <c r="CE325" s="214"/>
      <c r="CF325" s="214"/>
      <c r="CG325" s="214"/>
      <c r="CH325" s="214"/>
      <c r="CI325" s="214"/>
      <c r="CJ325" s="214"/>
      <c r="CK325" s="214"/>
      <c r="CL325" s="214"/>
      <c r="CM325" s="214"/>
      <c r="CN325" s="214"/>
      <c r="CO325" s="214"/>
      <c r="CP325" s="214"/>
      <c r="CQ325" s="214"/>
      <c r="CR325" s="214"/>
      <c r="CS325" s="214"/>
      <c r="CT325" s="214"/>
      <c r="CU325" s="214"/>
      <c r="CV325" s="214"/>
      <c r="CW325" s="214"/>
      <c r="CX325" s="214"/>
      <c r="CY325" s="214"/>
      <c r="CZ325" s="214"/>
      <c r="DA325" s="214"/>
      <c r="DB325" s="214"/>
      <c r="DC325" s="214"/>
      <c r="DD325" s="214"/>
      <c r="DE325" s="214"/>
      <c r="DF325" s="214"/>
      <c r="DG325" s="214"/>
      <c r="DH325" s="214"/>
      <c r="DI325" s="214"/>
      <c r="DJ325" s="214"/>
      <c r="DK325" s="214"/>
      <c r="DL325" s="214"/>
      <c r="DM325" s="214"/>
      <c r="DN325" s="214"/>
      <c r="DO325" s="214"/>
      <c r="DP325" s="214"/>
      <c r="DQ325" s="214"/>
      <c r="DR325" s="214"/>
      <c r="DS325" s="214"/>
      <c r="DT325" s="214"/>
      <c r="DU325" s="214"/>
      <c r="DV325" s="214"/>
      <c r="DW325" s="214"/>
      <c r="DX325" s="214"/>
      <c r="DY325" s="214"/>
      <c r="DZ325" s="214"/>
      <c r="EA325" s="214"/>
      <c r="EB325" s="214"/>
      <c r="EC325" s="214"/>
    </row>
    <row r="326" spans="21:133" s="226" customFormat="1" x14ac:dyDescent="0.15"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14"/>
      <c r="AE326" s="214"/>
      <c r="AF326" s="214"/>
      <c r="AG326" s="214"/>
      <c r="AH326" s="214"/>
      <c r="AI326" s="214"/>
      <c r="AJ326" s="214"/>
      <c r="AK326" s="214"/>
      <c r="AL326" s="214"/>
      <c r="AM326" s="214"/>
      <c r="AN326" s="214"/>
      <c r="AO326" s="214"/>
      <c r="AP326" s="214"/>
      <c r="AQ326" s="214"/>
      <c r="AR326" s="214"/>
      <c r="AS326" s="214"/>
      <c r="AT326" s="214"/>
      <c r="AU326" s="214"/>
      <c r="AV326" s="214"/>
      <c r="AW326" s="214"/>
      <c r="AX326" s="214"/>
      <c r="AY326" s="214"/>
      <c r="AZ326" s="214"/>
      <c r="BA326" s="214"/>
      <c r="BB326" s="214"/>
      <c r="BC326" s="214"/>
      <c r="BD326" s="214"/>
      <c r="BE326" s="214"/>
      <c r="BF326" s="214"/>
      <c r="BG326" s="214"/>
      <c r="BH326" s="214"/>
      <c r="BI326" s="214"/>
      <c r="BJ326" s="214"/>
      <c r="BK326" s="214"/>
      <c r="BL326" s="214"/>
      <c r="BM326" s="214"/>
      <c r="BN326" s="214"/>
      <c r="BO326" s="214"/>
      <c r="BP326" s="214"/>
      <c r="BQ326" s="214"/>
      <c r="BR326" s="214"/>
      <c r="BS326" s="214"/>
      <c r="BT326" s="214"/>
      <c r="BU326" s="214"/>
      <c r="BV326" s="214"/>
      <c r="BW326" s="214"/>
      <c r="BX326" s="214"/>
      <c r="BY326" s="214"/>
      <c r="BZ326" s="214"/>
      <c r="CA326" s="214"/>
      <c r="CB326" s="214"/>
      <c r="CC326" s="214"/>
      <c r="CD326" s="214"/>
      <c r="CE326" s="214"/>
      <c r="CF326" s="214"/>
      <c r="CG326" s="214"/>
      <c r="CH326" s="214"/>
      <c r="CI326" s="214"/>
      <c r="CJ326" s="214"/>
      <c r="CK326" s="214"/>
      <c r="CL326" s="214"/>
      <c r="CM326" s="214"/>
      <c r="CN326" s="214"/>
      <c r="CO326" s="214"/>
      <c r="CP326" s="214"/>
      <c r="CQ326" s="214"/>
      <c r="CR326" s="214"/>
      <c r="CS326" s="214"/>
      <c r="CT326" s="214"/>
      <c r="CU326" s="214"/>
      <c r="CV326" s="214"/>
      <c r="CW326" s="214"/>
      <c r="CX326" s="214"/>
      <c r="CY326" s="214"/>
      <c r="CZ326" s="214"/>
      <c r="DA326" s="214"/>
      <c r="DB326" s="214"/>
      <c r="DC326" s="214"/>
      <c r="DD326" s="214"/>
      <c r="DE326" s="214"/>
      <c r="DF326" s="214"/>
      <c r="DG326" s="214"/>
      <c r="DH326" s="214"/>
      <c r="DI326" s="214"/>
      <c r="DJ326" s="214"/>
      <c r="DK326" s="214"/>
      <c r="DL326" s="214"/>
      <c r="DM326" s="214"/>
      <c r="DN326" s="214"/>
      <c r="DO326" s="214"/>
      <c r="DP326" s="214"/>
      <c r="DQ326" s="214"/>
      <c r="DR326" s="214"/>
      <c r="DS326" s="214"/>
      <c r="DT326" s="214"/>
      <c r="DU326" s="214"/>
      <c r="DV326" s="214"/>
      <c r="DW326" s="214"/>
      <c r="DX326" s="214"/>
      <c r="DY326" s="214"/>
      <c r="DZ326" s="214"/>
      <c r="EA326" s="214"/>
      <c r="EB326" s="214"/>
      <c r="EC326" s="214"/>
    </row>
    <row r="327" spans="21:133" s="226" customFormat="1" x14ac:dyDescent="0.15"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14"/>
      <c r="AE327" s="214"/>
      <c r="AF327" s="214"/>
      <c r="AG327" s="214"/>
      <c r="AH327" s="214"/>
      <c r="AI327" s="214"/>
      <c r="AJ327" s="214"/>
      <c r="AK327" s="214"/>
      <c r="AL327" s="214"/>
      <c r="AM327" s="214"/>
      <c r="AN327" s="214"/>
      <c r="AO327" s="214"/>
      <c r="AP327" s="214"/>
      <c r="AQ327" s="214"/>
      <c r="AR327" s="214"/>
      <c r="AS327" s="214"/>
      <c r="AT327" s="214"/>
      <c r="AU327" s="214"/>
      <c r="AV327" s="214"/>
      <c r="AW327" s="214"/>
      <c r="AX327" s="214"/>
      <c r="AY327" s="214"/>
      <c r="AZ327" s="214"/>
      <c r="BA327" s="214"/>
      <c r="BB327" s="214"/>
      <c r="BC327" s="214"/>
      <c r="BD327" s="214"/>
      <c r="BE327" s="214"/>
      <c r="BF327" s="214"/>
      <c r="BG327" s="214"/>
      <c r="BH327" s="214"/>
      <c r="BI327" s="214"/>
      <c r="BJ327" s="214"/>
      <c r="BK327" s="214"/>
      <c r="BL327" s="214"/>
      <c r="BM327" s="214"/>
      <c r="BN327" s="214"/>
      <c r="BO327" s="214"/>
      <c r="BP327" s="214"/>
      <c r="BQ327" s="214"/>
      <c r="BR327" s="214"/>
      <c r="BS327" s="214"/>
      <c r="BT327" s="214"/>
      <c r="BU327" s="214"/>
      <c r="BV327" s="214"/>
      <c r="BW327" s="214"/>
      <c r="BX327" s="214"/>
      <c r="BY327" s="214"/>
      <c r="BZ327" s="214"/>
      <c r="CA327" s="214"/>
      <c r="CB327" s="214"/>
      <c r="CC327" s="214"/>
      <c r="CD327" s="214"/>
      <c r="CE327" s="214"/>
      <c r="CF327" s="214"/>
      <c r="CG327" s="214"/>
      <c r="CH327" s="214"/>
      <c r="CI327" s="214"/>
      <c r="CJ327" s="214"/>
      <c r="CK327" s="214"/>
      <c r="CL327" s="214"/>
      <c r="CM327" s="214"/>
      <c r="CN327" s="214"/>
      <c r="CO327" s="214"/>
      <c r="CP327" s="214"/>
      <c r="CQ327" s="214"/>
      <c r="CR327" s="214"/>
      <c r="CS327" s="214"/>
      <c r="CT327" s="214"/>
      <c r="CU327" s="214"/>
      <c r="CV327" s="214"/>
      <c r="CW327" s="214"/>
      <c r="CX327" s="214"/>
      <c r="CY327" s="214"/>
      <c r="CZ327" s="214"/>
      <c r="DA327" s="214"/>
      <c r="DB327" s="214"/>
      <c r="DC327" s="214"/>
      <c r="DD327" s="214"/>
      <c r="DE327" s="214"/>
      <c r="DF327" s="214"/>
      <c r="DG327" s="214"/>
      <c r="DH327" s="214"/>
      <c r="DI327" s="214"/>
      <c r="DJ327" s="214"/>
      <c r="DK327" s="214"/>
      <c r="DL327" s="214"/>
      <c r="DM327" s="214"/>
      <c r="DN327" s="214"/>
      <c r="DO327" s="214"/>
      <c r="DP327" s="214"/>
      <c r="DQ327" s="214"/>
      <c r="DR327" s="214"/>
      <c r="DS327" s="214"/>
      <c r="DT327" s="214"/>
      <c r="DU327" s="214"/>
      <c r="DV327" s="214"/>
      <c r="DW327" s="214"/>
      <c r="DX327" s="214"/>
      <c r="DY327" s="214"/>
      <c r="DZ327" s="214"/>
      <c r="EA327" s="214"/>
      <c r="EB327" s="214"/>
      <c r="EC327" s="214"/>
    </row>
    <row r="328" spans="21:133" s="226" customFormat="1" x14ac:dyDescent="0.15"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4"/>
      <c r="BN328" s="214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4"/>
      <c r="CJ328" s="214"/>
      <c r="CK328" s="214"/>
      <c r="CL328" s="214"/>
      <c r="CM328" s="214"/>
      <c r="CN328" s="214"/>
      <c r="CO328" s="214"/>
      <c r="CP328" s="214"/>
      <c r="CQ328" s="214"/>
      <c r="CR328" s="214"/>
      <c r="CS328" s="214"/>
      <c r="CT328" s="214"/>
      <c r="CU328" s="214"/>
      <c r="CV328" s="214"/>
      <c r="CW328" s="214"/>
      <c r="CX328" s="214"/>
      <c r="CY328" s="214"/>
      <c r="CZ328" s="214"/>
      <c r="DA328" s="214"/>
      <c r="DB328" s="214"/>
      <c r="DC328" s="214"/>
      <c r="DD328" s="214"/>
      <c r="DE328" s="214"/>
      <c r="DF328" s="214"/>
      <c r="DG328" s="214"/>
      <c r="DH328" s="214"/>
      <c r="DI328" s="214"/>
      <c r="DJ328" s="214"/>
      <c r="DK328" s="214"/>
      <c r="DL328" s="214"/>
      <c r="DM328" s="214"/>
      <c r="DN328" s="214"/>
      <c r="DO328" s="214"/>
      <c r="DP328" s="214"/>
      <c r="DQ328" s="214"/>
      <c r="DR328" s="214"/>
      <c r="DS328" s="214"/>
      <c r="DT328" s="214"/>
      <c r="DU328" s="214"/>
      <c r="DV328" s="214"/>
      <c r="DW328" s="214"/>
      <c r="DX328" s="214"/>
      <c r="DY328" s="214"/>
      <c r="DZ328" s="214"/>
      <c r="EA328" s="214"/>
      <c r="EB328" s="214"/>
      <c r="EC328" s="214"/>
    </row>
    <row r="329" spans="21:133" s="226" customFormat="1" x14ac:dyDescent="0.15"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4"/>
      <c r="AL329" s="214"/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  <c r="CM329" s="214"/>
      <c r="CN329" s="214"/>
      <c r="CO329" s="214"/>
      <c r="CP329" s="214"/>
      <c r="CQ329" s="214"/>
      <c r="CR329" s="214"/>
      <c r="CS329" s="214"/>
      <c r="CT329" s="214"/>
      <c r="CU329" s="214"/>
      <c r="CV329" s="214"/>
      <c r="CW329" s="214"/>
      <c r="CX329" s="214"/>
      <c r="CY329" s="214"/>
      <c r="CZ329" s="214"/>
      <c r="DA329" s="214"/>
      <c r="DB329" s="214"/>
      <c r="DC329" s="214"/>
      <c r="DD329" s="214"/>
      <c r="DE329" s="214"/>
      <c r="DF329" s="214"/>
      <c r="DG329" s="214"/>
      <c r="DH329" s="214"/>
      <c r="DI329" s="214"/>
      <c r="DJ329" s="214"/>
      <c r="DK329" s="214"/>
      <c r="DL329" s="214"/>
      <c r="DM329" s="214"/>
      <c r="DN329" s="214"/>
      <c r="DO329" s="214"/>
      <c r="DP329" s="214"/>
      <c r="DQ329" s="214"/>
      <c r="DR329" s="214"/>
      <c r="DS329" s="214"/>
      <c r="DT329" s="214"/>
      <c r="DU329" s="214"/>
      <c r="DV329" s="214"/>
      <c r="DW329" s="214"/>
      <c r="DX329" s="214"/>
      <c r="DY329" s="214"/>
      <c r="DZ329" s="214"/>
      <c r="EA329" s="214"/>
      <c r="EB329" s="214"/>
      <c r="EC329" s="214"/>
    </row>
    <row r="330" spans="21:133" s="226" customFormat="1" x14ac:dyDescent="0.15"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  <c r="BI330" s="214"/>
      <c r="BJ330" s="214"/>
      <c r="BK330" s="214"/>
      <c r="BL330" s="214"/>
      <c r="BM330" s="214"/>
      <c r="BN330" s="214"/>
      <c r="BO330" s="214"/>
      <c r="BP330" s="214"/>
      <c r="BQ330" s="214"/>
      <c r="BR330" s="214"/>
      <c r="BS330" s="214"/>
      <c r="BT330" s="214"/>
      <c r="BU330" s="214"/>
      <c r="BV330" s="214"/>
      <c r="BW330" s="214"/>
      <c r="BX330" s="214"/>
      <c r="BY330" s="214"/>
      <c r="BZ330" s="214"/>
      <c r="CA330" s="214"/>
      <c r="CB330" s="214"/>
      <c r="CC330" s="214"/>
      <c r="CD330" s="214"/>
      <c r="CE330" s="214"/>
      <c r="CF330" s="214"/>
      <c r="CG330" s="214"/>
      <c r="CH330" s="214"/>
      <c r="CI330" s="214"/>
      <c r="CJ330" s="214"/>
      <c r="CK330" s="214"/>
      <c r="CL330" s="214"/>
      <c r="CM330" s="214"/>
      <c r="CN330" s="214"/>
      <c r="CO330" s="214"/>
      <c r="CP330" s="214"/>
      <c r="CQ330" s="214"/>
      <c r="CR330" s="214"/>
      <c r="CS330" s="214"/>
      <c r="CT330" s="214"/>
      <c r="CU330" s="214"/>
      <c r="CV330" s="214"/>
      <c r="CW330" s="214"/>
      <c r="CX330" s="214"/>
      <c r="CY330" s="214"/>
      <c r="CZ330" s="214"/>
      <c r="DA330" s="214"/>
      <c r="DB330" s="214"/>
      <c r="DC330" s="214"/>
      <c r="DD330" s="214"/>
      <c r="DE330" s="214"/>
      <c r="DF330" s="214"/>
      <c r="DG330" s="214"/>
      <c r="DH330" s="214"/>
      <c r="DI330" s="214"/>
      <c r="DJ330" s="214"/>
      <c r="DK330" s="214"/>
      <c r="DL330" s="214"/>
      <c r="DM330" s="214"/>
      <c r="DN330" s="214"/>
      <c r="DO330" s="214"/>
      <c r="DP330" s="214"/>
      <c r="DQ330" s="214"/>
      <c r="DR330" s="214"/>
      <c r="DS330" s="214"/>
      <c r="DT330" s="214"/>
      <c r="DU330" s="214"/>
      <c r="DV330" s="214"/>
      <c r="DW330" s="214"/>
      <c r="DX330" s="214"/>
      <c r="DY330" s="214"/>
      <c r="DZ330" s="214"/>
      <c r="EA330" s="214"/>
      <c r="EB330" s="214"/>
      <c r="EC330" s="214"/>
    </row>
    <row r="331" spans="21:133" s="226" customFormat="1" x14ac:dyDescent="0.15"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14"/>
      <c r="AE331" s="214"/>
      <c r="AF331" s="214"/>
      <c r="AG331" s="214"/>
      <c r="AH331" s="214"/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  <c r="BM331" s="214"/>
      <c r="BN331" s="214"/>
      <c r="BO331" s="214"/>
      <c r="BP331" s="214"/>
      <c r="BQ331" s="214"/>
      <c r="BR331" s="214"/>
      <c r="BS331" s="214"/>
      <c r="BT331" s="214"/>
      <c r="BU331" s="214"/>
      <c r="BV331" s="214"/>
      <c r="BW331" s="214"/>
      <c r="BX331" s="214"/>
      <c r="BY331" s="214"/>
      <c r="BZ331" s="214"/>
      <c r="CA331" s="214"/>
      <c r="CB331" s="214"/>
      <c r="CC331" s="214"/>
      <c r="CD331" s="214"/>
      <c r="CE331" s="214"/>
      <c r="CF331" s="214"/>
      <c r="CG331" s="214"/>
      <c r="CH331" s="214"/>
      <c r="CI331" s="214"/>
      <c r="CJ331" s="214"/>
      <c r="CK331" s="214"/>
      <c r="CL331" s="214"/>
      <c r="CM331" s="214"/>
      <c r="CN331" s="214"/>
      <c r="CO331" s="214"/>
      <c r="CP331" s="214"/>
      <c r="CQ331" s="214"/>
      <c r="CR331" s="214"/>
      <c r="CS331" s="214"/>
      <c r="CT331" s="214"/>
      <c r="CU331" s="214"/>
      <c r="CV331" s="214"/>
      <c r="CW331" s="214"/>
      <c r="CX331" s="214"/>
      <c r="CY331" s="214"/>
      <c r="CZ331" s="214"/>
      <c r="DA331" s="214"/>
      <c r="DB331" s="214"/>
      <c r="DC331" s="214"/>
      <c r="DD331" s="214"/>
      <c r="DE331" s="214"/>
      <c r="DF331" s="214"/>
      <c r="DG331" s="214"/>
      <c r="DH331" s="214"/>
      <c r="DI331" s="214"/>
      <c r="DJ331" s="214"/>
      <c r="DK331" s="214"/>
      <c r="DL331" s="214"/>
      <c r="DM331" s="214"/>
      <c r="DN331" s="214"/>
      <c r="DO331" s="214"/>
      <c r="DP331" s="214"/>
      <c r="DQ331" s="214"/>
      <c r="DR331" s="214"/>
      <c r="DS331" s="214"/>
      <c r="DT331" s="214"/>
      <c r="DU331" s="214"/>
      <c r="DV331" s="214"/>
      <c r="DW331" s="214"/>
      <c r="DX331" s="214"/>
      <c r="DY331" s="214"/>
      <c r="DZ331" s="214"/>
      <c r="EA331" s="214"/>
      <c r="EB331" s="214"/>
      <c r="EC331" s="214"/>
    </row>
    <row r="332" spans="21:133" s="226" customFormat="1" x14ac:dyDescent="0.15"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  <c r="BM332" s="214"/>
      <c r="BN332" s="214"/>
      <c r="BO332" s="214"/>
      <c r="BP332" s="214"/>
      <c r="BQ332" s="214"/>
      <c r="BR332" s="214"/>
      <c r="BS332" s="214"/>
      <c r="BT332" s="214"/>
      <c r="BU332" s="214"/>
      <c r="BV332" s="214"/>
      <c r="BW332" s="214"/>
      <c r="BX332" s="214"/>
      <c r="BY332" s="214"/>
      <c r="BZ332" s="214"/>
      <c r="CA332" s="214"/>
      <c r="CB332" s="214"/>
      <c r="CC332" s="214"/>
      <c r="CD332" s="214"/>
      <c r="CE332" s="214"/>
      <c r="CF332" s="214"/>
      <c r="CG332" s="214"/>
      <c r="CH332" s="214"/>
      <c r="CI332" s="214"/>
      <c r="CJ332" s="214"/>
      <c r="CK332" s="214"/>
      <c r="CL332" s="214"/>
      <c r="CM332" s="214"/>
      <c r="CN332" s="214"/>
      <c r="CO332" s="214"/>
      <c r="CP332" s="214"/>
      <c r="CQ332" s="214"/>
      <c r="CR332" s="214"/>
      <c r="CS332" s="214"/>
      <c r="CT332" s="214"/>
      <c r="CU332" s="214"/>
      <c r="CV332" s="214"/>
      <c r="CW332" s="214"/>
      <c r="CX332" s="214"/>
      <c r="CY332" s="214"/>
      <c r="CZ332" s="214"/>
      <c r="DA332" s="214"/>
      <c r="DB332" s="214"/>
      <c r="DC332" s="214"/>
      <c r="DD332" s="214"/>
      <c r="DE332" s="214"/>
      <c r="DF332" s="214"/>
      <c r="DG332" s="214"/>
      <c r="DH332" s="214"/>
      <c r="DI332" s="214"/>
      <c r="DJ332" s="214"/>
      <c r="DK332" s="214"/>
      <c r="DL332" s="214"/>
      <c r="DM332" s="214"/>
      <c r="DN332" s="214"/>
      <c r="DO332" s="214"/>
      <c r="DP332" s="214"/>
      <c r="DQ332" s="214"/>
      <c r="DR332" s="214"/>
      <c r="DS332" s="214"/>
      <c r="DT332" s="214"/>
      <c r="DU332" s="214"/>
      <c r="DV332" s="214"/>
      <c r="DW332" s="214"/>
      <c r="DX332" s="214"/>
      <c r="DY332" s="214"/>
      <c r="DZ332" s="214"/>
      <c r="EA332" s="214"/>
      <c r="EB332" s="214"/>
      <c r="EC332" s="214"/>
    </row>
    <row r="333" spans="21:133" s="226" customFormat="1" x14ac:dyDescent="0.15"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14"/>
      <c r="AE333" s="214"/>
      <c r="AF333" s="214"/>
      <c r="AG333" s="214"/>
      <c r="AH333" s="214"/>
      <c r="AI333" s="214"/>
      <c r="AJ333" s="214"/>
      <c r="AK333" s="214"/>
      <c r="AL333" s="214"/>
      <c r="AM333" s="214"/>
      <c r="AN333" s="214"/>
      <c r="AO333" s="214"/>
      <c r="AP333" s="214"/>
      <c r="AQ333" s="214"/>
      <c r="AR333" s="214"/>
      <c r="AS333" s="214"/>
      <c r="AT333" s="214"/>
      <c r="AU333" s="214"/>
      <c r="AV333" s="214"/>
      <c r="AW333" s="214"/>
      <c r="AX333" s="214"/>
      <c r="AY333" s="214"/>
      <c r="AZ333" s="214"/>
      <c r="BA333" s="214"/>
      <c r="BB333" s="214"/>
      <c r="BC333" s="214"/>
      <c r="BD333" s="214"/>
      <c r="BE333" s="214"/>
      <c r="BF333" s="214"/>
      <c r="BG333" s="214"/>
      <c r="BH333" s="214"/>
      <c r="BI333" s="214"/>
      <c r="BJ333" s="214"/>
      <c r="BK333" s="214"/>
      <c r="BL333" s="214"/>
      <c r="BM333" s="214"/>
      <c r="BN333" s="214"/>
      <c r="BO333" s="214"/>
      <c r="BP333" s="214"/>
      <c r="BQ333" s="214"/>
      <c r="BR333" s="214"/>
      <c r="BS333" s="214"/>
      <c r="BT333" s="214"/>
      <c r="BU333" s="214"/>
      <c r="BV333" s="214"/>
      <c r="BW333" s="214"/>
      <c r="BX333" s="214"/>
      <c r="BY333" s="214"/>
      <c r="BZ333" s="214"/>
      <c r="CA333" s="214"/>
      <c r="CB333" s="214"/>
      <c r="CC333" s="214"/>
      <c r="CD333" s="214"/>
      <c r="CE333" s="214"/>
      <c r="CF333" s="214"/>
      <c r="CG333" s="214"/>
      <c r="CH333" s="214"/>
      <c r="CI333" s="214"/>
      <c r="CJ333" s="214"/>
      <c r="CK333" s="214"/>
      <c r="CL333" s="214"/>
      <c r="CM333" s="214"/>
      <c r="CN333" s="214"/>
      <c r="CO333" s="214"/>
      <c r="CP333" s="214"/>
      <c r="CQ333" s="214"/>
      <c r="CR333" s="214"/>
      <c r="CS333" s="214"/>
      <c r="CT333" s="214"/>
      <c r="CU333" s="214"/>
      <c r="CV333" s="214"/>
      <c r="CW333" s="214"/>
      <c r="CX333" s="214"/>
      <c r="CY333" s="214"/>
      <c r="CZ333" s="214"/>
      <c r="DA333" s="214"/>
      <c r="DB333" s="214"/>
      <c r="DC333" s="214"/>
      <c r="DD333" s="214"/>
      <c r="DE333" s="214"/>
      <c r="DF333" s="214"/>
      <c r="DG333" s="214"/>
      <c r="DH333" s="214"/>
      <c r="DI333" s="214"/>
      <c r="DJ333" s="214"/>
      <c r="DK333" s="214"/>
      <c r="DL333" s="214"/>
      <c r="DM333" s="214"/>
      <c r="DN333" s="214"/>
      <c r="DO333" s="214"/>
      <c r="DP333" s="214"/>
      <c r="DQ333" s="214"/>
      <c r="DR333" s="214"/>
      <c r="DS333" s="214"/>
      <c r="DT333" s="214"/>
      <c r="DU333" s="214"/>
      <c r="DV333" s="214"/>
      <c r="DW333" s="214"/>
      <c r="DX333" s="214"/>
      <c r="DY333" s="214"/>
      <c r="DZ333" s="214"/>
      <c r="EA333" s="214"/>
      <c r="EB333" s="214"/>
      <c r="EC333" s="214"/>
    </row>
    <row r="334" spans="21:133" s="226" customFormat="1" x14ac:dyDescent="0.15"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14"/>
      <c r="AE334" s="214"/>
      <c r="AF334" s="214"/>
      <c r="AG334" s="214"/>
      <c r="AH334" s="214"/>
      <c r="AI334" s="214"/>
      <c r="AJ334" s="214"/>
      <c r="AK334" s="214"/>
      <c r="AL334" s="214"/>
      <c r="AM334" s="214"/>
      <c r="AN334" s="214"/>
      <c r="AO334" s="214"/>
      <c r="AP334" s="214"/>
      <c r="AQ334" s="214"/>
      <c r="AR334" s="214"/>
      <c r="AS334" s="214"/>
      <c r="AT334" s="214"/>
      <c r="AU334" s="214"/>
      <c r="AV334" s="214"/>
      <c r="AW334" s="214"/>
      <c r="AX334" s="214"/>
      <c r="AY334" s="214"/>
      <c r="AZ334" s="214"/>
      <c r="BA334" s="214"/>
      <c r="BB334" s="214"/>
      <c r="BC334" s="214"/>
      <c r="BD334" s="214"/>
      <c r="BE334" s="214"/>
      <c r="BF334" s="214"/>
      <c r="BG334" s="214"/>
      <c r="BH334" s="214"/>
      <c r="BI334" s="214"/>
      <c r="BJ334" s="214"/>
      <c r="BK334" s="214"/>
      <c r="BL334" s="214"/>
      <c r="BM334" s="214"/>
      <c r="BN334" s="214"/>
      <c r="BO334" s="214"/>
      <c r="BP334" s="214"/>
      <c r="BQ334" s="214"/>
      <c r="BR334" s="214"/>
      <c r="BS334" s="214"/>
      <c r="BT334" s="214"/>
      <c r="BU334" s="214"/>
      <c r="BV334" s="214"/>
      <c r="BW334" s="214"/>
      <c r="BX334" s="214"/>
      <c r="BY334" s="214"/>
      <c r="BZ334" s="214"/>
      <c r="CA334" s="214"/>
      <c r="CB334" s="214"/>
      <c r="CC334" s="214"/>
      <c r="CD334" s="214"/>
      <c r="CE334" s="214"/>
      <c r="CF334" s="214"/>
      <c r="CG334" s="214"/>
      <c r="CH334" s="214"/>
      <c r="CI334" s="214"/>
      <c r="CJ334" s="214"/>
      <c r="CK334" s="214"/>
      <c r="CL334" s="214"/>
      <c r="CM334" s="214"/>
      <c r="CN334" s="214"/>
      <c r="CO334" s="214"/>
      <c r="CP334" s="214"/>
      <c r="CQ334" s="214"/>
      <c r="CR334" s="214"/>
      <c r="CS334" s="214"/>
      <c r="CT334" s="214"/>
      <c r="CU334" s="214"/>
      <c r="CV334" s="214"/>
      <c r="CW334" s="214"/>
      <c r="CX334" s="214"/>
      <c r="CY334" s="214"/>
      <c r="CZ334" s="214"/>
      <c r="DA334" s="214"/>
      <c r="DB334" s="214"/>
      <c r="DC334" s="214"/>
      <c r="DD334" s="214"/>
      <c r="DE334" s="214"/>
      <c r="DF334" s="214"/>
      <c r="DG334" s="214"/>
      <c r="DH334" s="214"/>
      <c r="DI334" s="214"/>
      <c r="DJ334" s="214"/>
      <c r="DK334" s="214"/>
      <c r="DL334" s="214"/>
      <c r="DM334" s="214"/>
      <c r="DN334" s="214"/>
      <c r="DO334" s="214"/>
      <c r="DP334" s="214"/>
      <c r="DQ334" s="214"/>
      <c r="DR334" s="214"/>
      <c r="DS334" s="214"/>
      <c r="DT334" s="214"/>
      <c r="DU334" s="214"/>
      <c r="DV334" s="214"/>
      <c r="DW334" s="214"/>
      <c r="DX334" s="214"/>
      <c r="DY334" s="214"/>
      <c r="DZ334" s="214"/>
      <c r="EA334" s="214"/>
      <c r="EB334" s="214"/>
      <c r="EC334" s="214"/>
    </row>
    <row r="335" spans="21:133" s="226" customFormat="1" x14ac:dyDescent="0.15"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14"/>
      <c r="AE335" s="214"/>
      <c r="AF335" s="214"/>
      <c r="AG335" s="214"/>
      <c r="AH335" s="214"/>
      <c r="AI335" s="214"/>
      <c r="AJ335" s="214"/>
      <c r="AK335" s="214"/>
      <c r="AL335" s="214"/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  <c r="BI335" s="214"/>
      <c r="BJ335" s="214"/>
      <c r="BK335" s="214"/>
      <c r="BL335" s="214"/>
      <c r="BM335" s="214"/>
      <c r="BN335" s="214"/>
      <c r="BO335" s="214"/>
      <c r="BP335" s="214"/>
      <c r="BQ335" s="214"/>
      <c r="BR335" s="214"/>
      <c r="BS335" s="214"/>
      <c r="BT335" s="214"/>
      <c r="BU335" s="214"/>
      <c r="BV335" s="214"/>
      <c r="BW335" s="214"/>
      <c r="BX335" s="214"/>
      <c r="BY335" s="214"/>
      <c r="BZ335" s="214"/>
      <c r="CA335" s="214"/>
      <c r="CB335" s="214"/>
      <c r="CC335" s="214"/>
      <c r="CD335" s="214"/>
      <c r="CE335" s="214"/>
      <c r="CF335" s="214"/>
      <c r="CG335" s="214"/>
      <c r="CH335" s="214"/>
      <c r="CI335" s="214"/>
      <c r="CJ335" s="214"/>
      <c r="CK335" s="214"/>
      <c r="CL335" s="214"/>
      <c r="CM335" s="214"/>
      <c r="CN335" s="214"/>
      <c r="CO335" s="214"/>
      <c r="CP335" s="214"/>
      <c r="CQ335" s="214"/>
      <c r="CR335" s="214"/>
      <c r="CS335" s="214"/>
      <c r="CT335" s="214"/>
      <c r="CU335" s="214"/>
      <c r="CV335" s="214"/>
      <c r="CW335" s="214"/>
      <c r="CX335" s="214"/>
      <c r="CY335" s="214"/>
      <c r="CZ335" s="214"/>
      <c r="DA335" s="214"/>
      <c r="DB335" s="214"/>
      <c r="DC335" s="214"/>
      <c r="DD335" s="214"/>
      <c r="DE335" s="214"/>
      <c r="DF335" s="214"/>
      <c r="DG335" s="214"/>
      <c r="DH335" s="214"/>
      <c r="DI335" s="214"/>
      <c r="DJ335" s="214"/>
      <c r="DK335" s="214"/>
      <c r="DL335" s="214"/>
      <c r="DM335" s="214"/>
      <c r="DN335" s="214"/>
      <c r="DO335" s="214"/>
      <c r="DP335" s="214"/>
      <c r="DQ335" s="214"/>
      <c r="DR335" s="214"/>
      <c r="DS335" s="214"/>
      <c r="DT335" s="214"/>
      <c r="DU335" s="214"/>
      <c r="DV335" s="214"/>
      <c r="DW335" s="214"/>
      <c r="DX335" s="214"/>
      <c r="DY335" s="214"/>
      <c r="DZ335" s="214"/>
      <c r="EA335" s="214"/>
      <c r="EB335" s="214"/>
      <c r="EC335" s="214"/>
    </row>
    <row r="336" spans="21:133" s="226" customFormat="1" x14ac:dyDescent="0.15"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14"/>
      <c r="AE336" s="214"/>
      <c r="AF336" s="214"/>
      <c r="AG336" s="214"/>
      <c r="AH336" s="214"/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  <c r="BI336" s="214"/>
      <c r="BJ336" s="214"/>
      <c r="BK336" s="214"/>
      <c r="BL336" s="214"/>
      <c r="BM336" s="214"/>
      <c r="BN336" s="214"/>
      <c r="BO336" s="214"/>
      <c r="BP336" s="214"/>
      <c r="BQ336" s="214"/>
      <c r="BR336" s="214"/>
      <c r="BS336" s="214"/>
      <c r="BT336" s="214"/>
      <c r="BU336" s="214"/>
      <c r="BV336" s="214"/>
      <c r="BW336" s="214"/>
      <c r="BX336" s="214"/>
      <c r="BY336" s="214"/>
      <c r="BZ336" s="214"/>
      <c r="CA336" s="214"/>
      <c r="CB336" s="214"/>
      <c r="CC336" s="214"/>
      <c r="CD336" s="214"/>
      <c r="CE336" s="214"/>
      <c r="CF336" s="214"/>
      <c r="CG336" s="214"/>
      <c r="CH336" s="214"/>
      <c r="CI336" s="214"/>
      <c r="CJ336" s="214"/>
      <c r="CK336" s="214"/>
      <c r="CL336" s="214"/>
      <c r="CM336" s="214"/>
      <c r="CN336" s="214"/>
      <c r="CO336" s="214"/>
      <c r="CP336" s="214"/>
      <c r="CQ336" s="214"/>
      <c r="CR336" s="214"/>
      <c r="CS336" s="214"/>
      <c r="CT336" s="214"/>
      <c r="CU336" s="214"/>
      <c r="CV336" s="214"/>
      <c r="CW336" s="214"/>
      <c r="CX336" s="214"/>
      <c r="CY336" s="214"/>
      <c r="CZ336" s="214"/>
      <c r="DA336" s="214"/>
      <c r="DB336" s="214"/>
      <c r="DC336" s="214"/>
      <c r="DD336" s="214"/>
      <c r="DE336" s="214"/>
      <c r="DF336" s="214"/>
      <c r="DG336" s="214"/>
      <c r="DH336" s="214"/>
      <c r="DI336" s="214"/>
      <c r="DJ336" s="214"/>
      <c r="DK336" s="214"/>
      <c r="DL336" s="214"/>
      <c r="DM336" s="214"/>
      <c r="DN336" s="214"/>
      <c r="DO336" s="214"/>
      <c r="DP336" s="214"/>
      <c r="DQ336" s="214"/>
      <c r="DR336" s="214"/>
      <c r="DS336" s="214"/>
      <c r="DT336" s="214"/>
      <c r="DU336" s="214"/>
      <c r="DV336" s="214"/>
      <c r="DW336" s="214"/>
      <c r="DX336" s="214"/>
      <c r="DY336" s="214"/>
      <c r="DZ336" s="214"/>
      <c r="EA336" s="214"/>
      <c r="EB336" s="214"/>
      <c r="EC336" s="214"/>
    </row>
    <row r="337" spans="21:133" s="226" customFormat="1" x14ac:dyDescent="0.15"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4"/>
      <c r="BN337" s="214"/>
      <c r="BO337" s="214"/>
      <c r="BP337" s="214"/>
      <c r="BQ337" s="214"/>
      <c r="BR337" s="214"/>
      <c r="BS337" s="214"/>
      <c r="BT337" s="214"/>
      <c r="BU337" s="214"/>
      <c r="BV337" s="214"/>
      <c r="BW337" s="214"/>
      <c r="BX337" s="214"/>
      <c r="BY337" s="214"/>
      <c r="BZ337" s="214"/>
      <c r="CA337" s="214"/>
      <c r="CB337" s="214"/>
      <c r="CC337" s="214"/>
      <c r="CD337" s="214"/>
      <c r="CE337" s="214"/>
      <c r="CF337" s="214"/>
      <c r="CG337" s="214"/>
      <c r="CH337" s="214"/>
      <c r="CI337" s="214"/>
      <c r="CJ337" s="214"/>
      <c r="CK337" s="214"/>
      <c r="CL337" s="214"/>
      <c r="CM337" s="214"/>
      <c r="CN337" s="214"/>
      <c r="CO337" s="214"/>
      <c r="CP337" s="214"/>
      <c r="CQ337" s="214"/>
      <c r="CR337" s="214"/>
      <c r="CS337" s="214"/>
      <c r="CT337" s="214"/>
      <c r="CU337" s="214"/>
      <c r="CV337" s="214"/>
      <c r="CW337" s="214"/>
      <c r="CX337" s="214"/>
      <c r="CY337" s="214"/>
      <c r="CZ337" s="214"/>
      <c r="DA337" s="214"/>
      <c r="DB337" s="214"/>
      <c r="DC337" s="214"/>
      <c r="DD337" s="214"/>
      <c r="DE337" s="214"/>
      <c r="DF337" s="214"/>
      <c r="DG337" s="214"/>
      <c r="DH337" s="214"/>
      <c r="DI337" s="214"/>
      <c r="DJ337" s="214"/>
      <c r="DK337" s="214"/>
      <c r="DL337" s="214"/>
      <c r="DM337" s="214"/>
      <c r="DN337" s="214"/>
      <c r="DO337" s="214"/>
      <c r="DP337" s="214"/>
      <c r="DQ337" s="214"/>
      <c r="DR337" s="214"/>
      <c r="DS337" s="214"/>
      <c r="DT337" s="214"/>
      <c r="DU337" s="214"/>
      <c r="DV337" s="214"/>
      <c r="DW337" s="214"/>
      <c r="DX337" s="214"/>
      <c r="DY337" s="214"/>
      <c r="DZ337" s="214"/>
      <c r="EA337" s="214"/>
      <c r="EB337" s="214"/>
      <c r="EC337" s="214"/>
    </row>
    <row r="338" spans="21:133" s="226" customFormat="1" x14ac:dyDescent="0.15"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4"/>
      <c r="BN338" s="214"/>
      <c r="BO338" s="214"/>
      <c r="BP338" s="214"/>
      <c r="BQ338" s="214"/>
      <c r="BR338" s="214"/>
      <c r="BS338" s="214"/>
      <c r="BT338" s="214"/>
      <c r="BU338" s="214"/>
      <c r="BV338" s="214"/>
      <c r="BW338" s="214"/>
      <c r="BX338" s="214"/>
      <c r="BY338" s="214"/>
      <c r="BZ338" s="214"/>
      <c r="CA338" s="214"/>
      <c r="CB338" s="214"/>
      <c r="CC338" s="214"/>
      <c r="CD338" s="214"/>
      <c r="CE338" s="214"/>
      <c r="CF338" s="214"/>
      <c r="CG338" s="214"/>
      <c r="CH338" s="214"/>
      <c r="CI338" s="214"/>
      <c r="CJ338" s="214"/>
      <c r="CK338" s="214"/>
      <c r="CL338" s="214"/>
      <c r="CM338" s="214"/>
      <c r="CN338" s="214"/>
      <c r="CO338" s="214"/>
      <c r="CP338" s="214"/>
      <c r="CQ338" s="214"/>
      <c r="CR338" s="214"/>
      <c r="CS338" s="214"/>
      <c r="CT338" s="214"/>
      <c r="CU338" s="214"/>
      <c r="CV338" s="214"/>
      <c r="CW338" s="214"/>
      <c r="CX338" s="214"/>
      <c r="CY338" s="214"/>
      <c r="CZ338" s="214"/>
      <c r="DA338" s="214"/>
      <c r="DB338" s="214"/>
      <c r="DC338" s="214"/>
      <c r="DD338" s="214"/>
      <c r="DE338" s="214"/>
      <c r="DF338" s="214"/>
      <c r="DG338" s="214"/>
      <c r="DH338" s="214"/>
      <c r="DI338" s="214"/>
      <c r="DJ338" s="214"/>
      <c r="DK338" s="214"/>
      <c r="DL338" s="214"/>
      <c r="DM338" s="214"/>
      <c r="DN338" s="214"/>
      <c r="DO338" s="214"/>
      <c r="DP338" s="214"/>
      <c r="DQ338" s="214"/>
      <c r="DR338" s="214"/>
      <c r="DS338" s="214"/>
      <c r="DT338" s="214"/>
      <c r="DU338" s="214"/>
      <c r="DV338" s="214"/>
      <c r="DW338" s="214"/>
      <c r="DX338" s="214"/>
      <c r="DY338" s="214"/>
      <c r="DZ338" s="214"/>
      <c r="EA338" s="214"/>
      <c r="EB338" s="214"/>
      <c r="EC338" s="214"/>
    </row>
    <row r="339" spans="21:133" s="226" customFormat="1" x14ac:dyDescent="0.15"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14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4"/>
      <c r="BN339" s="214"/>
      <c r="BO339" s="214"/>
      <c r="BP339" s="214"/>
      <c r="BQ339" s="214"/>
      <c r="BR339" s="214"/>
      <c r="BS339" s="214"/>
      <c r="BT339" s="214"/>
      <c r="BU339" s="214"/>
      <c r="BV339" s="214"/>
      <c r="BW339" s="214"/>
      <c r="BX339" s="214"/>
      <c r="BY339" s="214"/>
      <c r="BZ339" s="214"/>
      <c r="CA339" s="214"/>
      <c r="CB339" s="214"/>
      <c r="CC339" s="214"/>
      <c r="CD339" s="214"/>
      <c r="CE339" s="214"/>
      <c r="CF339" s="214"/>
      <c r="CG339" s="214"/>
      <c r="CH339" s="214"/>
      <c r="CI339" s="214"/>
      <c r="CJ339" s="214"/>
      <c r="CK339" s="214"/>
      <c r="CL339" s="214"/>
      <c r="CM339" s="214"/>
      <c r="CN339" s="214"/>
      <c r="CO339" s="214"/>
      <c r="CP339" s="214"/>
      <c r="CQ339" s="214"/>
      <c r="CR339" s="214"/>
      <c r="CS339" s="214"/>
      <c r="CT339" s="214"/>
      <c r="CU339" s="214"/>
      <c r="CV339" s="214"/>
      <c r="CW339" s="214"/>
      <c r="CX339" s="214"/>
      <c r="CY339" s="214"/>
      <c r="CZ339" s="214"/>
      <c r="DA339" s="214"/>
      <c r="DB339" s="214"/>
      <c r="DC339" s="214"/>
      <c r="DD339" s="214"/>
      <c r="DE339" s="214"/>
      <c r="DF339" s="214"/>
      <c r="DG339" s="214"/>
      <c r="DH339" s="214"/>
      <c r="DI339" s="214"/>
      <c r="DJ339" s="214"/>
      <c r="DK339" s="214"/>
      <c r="DL339" s="214"/>
      <c r="DM339" s="214"/>
      <c r="DN339" s="214"/>
      <c r="DO339" s="214"/>
      <c r="DP339" s="214"/>
      <c r="DQ339" s="214"/>
      <c r="DR339" s="214"/>
      <c r="DS339" s="214"/>
      <c r="DT339" s="214"/>
      <c r="DU339" s="214"/>
      <c r="DV339" s="214"/>
      <c r="DW339" s="214"/>
      <c r="DX339" s="214"/>
      <c r="DY339" s="214"/>
      <c r="DZ339" s="214"/>
      <c r="EA339" s="214"/>
      <c r="EB339" s="214"/>
      <c r="EC339" s="214"/>
    </row>
    <row r="340" spans="21:133" s="226" customFormat="1" x14ac:dyDescent="0.15"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4"/>
      <c r="BN340" s="214"/>
      <c r="BO340" s="214"/>
      <c r="BP340" s="214"/>
      <c r="BQ340" s="214"/>
      <c r="BR340" s="214"/>
      <c r="BS340" s="214"/>
      <c r="BT340" s="214"/>
      <c r="BU340" s="214"/>
      <c r="BV340" s="214"/>
      <c r="BW340" s="214"/>
      <c r="BX340" s="214"/>
      <c r="BY340" s="214"/>
      <c r="BZ340" s="214"/>
      <c r="CA340" s="214"/>
      <c r="CB340" s="214"/>
      <c r="CC340" s="214"/>
      <c r="CD340" s="214"/>
      <c r="CE340" s="214"/>
      <c r="CF340" s="214"/>
      <c r="CG340" s="214"/>
      <c r="CH340" s="214"/>
      <c r="CI340" s="214"/>
      <c r="CJ340" s="214"/>
      <c r="CK340" s="214"/>
      <c r="CL340" s="214"/>
      <c r="CM340" s="214"/>
      <c r="CN340" s="214"/>
      <c r="CO340" s="214"/>
      <c r="CP340" s="214"/>
      <c r="CQ340" s="214"/>
      <c r="CR340" s="214"/>
      <c r="CS340" s="214"/>
      <c r="CT340" s="214"/>
      <c r="CU340" s="214"/>
      <c r="CV340" s="214"/>
      <c r="CW340" s="214"/>
      <c r="CX340" s="214"/>
      <c r="CY340" s="214"/>
      <c r="CZ340" s="214"/>
      <c r="DA340" s="214"/>
      <c r="DB340" s="214"/>
      <c r="DC340" s="214"/>
      <c r="DD340" s="214"/>
      <c r="DE340" s="214"/>
      <c r="DF340" s="214"/>
      <c r="DG340" s="214"/>
      <c r="DH340" s="214"/>
      <c r="DI340" s="214"/>
      <c r="DJ340" s="214"/>
      <c r="DK340" s="214"/>
      <c r="DL340" s="214"/>
      <c r="DM340" s="214"/>
      <c r="DN340" s="214"/>
      <c r="DO340" s="214"/>
      <c r="DP340" s="214"/>
      <c r="DQ340" s="214"/>
      <c r="DR340" s="214"/>
      <c r="DS340" s="214"/>
      <c r="DT340" s="214"/>
      <c r="DU340" s="214"/>
      <c r="DV340" s="214"/>
      <c r="DW340" s="214"/>
      <c r="DX340" s="214"/>
      <c r="DY340" s="214"/>
      <c r="DZ340" s="214"/>
      <c r="EA340" s="214"/>
      <c r="EB340" s="214"/>
      <c r="EC340" s="214"/>
    </row>
    <row r="341" spans="21:133" s="226" customFormat="1" x14ac:dyDescent="0.15"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4"/>
      <c r="BN341" s="214"/>
      <c r="BO341" s="214"/>
      <c r="BP341" s="214"/>
      <c r="BQ341" s="214"/>
      <c r="BR341" s="214"/>
      <c r="BS341" s="214"/>
      <c r="BT341" s="214"/>
      <c r="BU341" s="214"/>
      <c r="BV341" s="214"/>
      <c r="BW341" s="214"/>
      <c r="BX341" s="214"/>
      <c r="BY341" s="214"/>
      <c r="BZ341" s="214"/>
      <c r="CA341" s="214"/>
      <c r="CB341" s="214"/>
      <c r="CC341" s="214"/>
      <c r="CD341" s="214"/>
      <c r="CE341" s="214"/>
      <c r="CF341" s="214"/>
      <c r="CG341" s="214"/>
      <c r="CH341" s="214"/>
      <c r="CI341" s="214"/>
      <c r="CJ341" s="214"/>
      <c r="CK341" s="214"/>
      <c r="CL341" s="214"/>
      <c r="CM341" s="214"/>
      <c r="CN341" s="214"/>
      <c r="CO341" s="214"/>
      <c r="CP341" s="214"/>
      <c r="CQ341" s="214"/>
      <c r="CR341" s="214"/>
      <c r="CS341" s="214"/>
      <c r="CT341" s="214"/>
      <c r="CU341" s="214"/>
      <c r="CV341" s="214"/>
      <c r="CW341" s="214"/>
      <c r="CX341" s="214"/>
      <c r="CY341" s="214"/>
      <c r="CZ341" s="214"/>
      <c r="DA341" s="214"/>
      <c r="DB341" s="214"/>
      <c r="DC341" s="214"/>
      <c r="DD341" s="214"/>
      <c r="DE341" s="214"/>
      <c r="DF341" s="214"/>
      <c r="DG341" s="214"/>
      <c r="DH341" s="214"/>
      <c r="DI341" s="214"/>
      <c r="DJ341" s="214"/>
      <c r="DK341" s="214"/>
      <c r="DL341" s="214"/>
      <c r="DM341" s="214"/>
      <c r="DN341" s="214"/>
      <c r="DO341" s="214"/>
      <c r="DP341" s="214"/>
      <c r="DQ341" s="214"/>
      <c r="DR341" s="214"/>
      <c r="DS341" s="214"/>
      <c r="DT341" s="214"/>
      <c r="DU341" s="214"/>
      <c r="DV341" s="214"/>
      <c r="DW341" s="214"/>
      <c r="DX341" s="214"/>
      <c r="DY341" s="214"/>
      <c r="DZ341" s="214"/>
      <c r="EA341" s="214"/>
      <c r="EB341" s="214"/>
      <c r="EC341" s="214"/>
    </row>
    <row r="342" spans="21:133" s="226" customFormat="1" x14ac:dyDescent="0.15"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4"/>
      <c r="BN342" s="214"/>
      <c r="BO342" s="214"/>
      <c r="BP342" s="214"/>
      <c r="BQ342" s="214"/>
      <c r="BR342" s="214"/>
      <c r="BS342" s="214"/>
      <c r="BT342" s="214"/>
      <c r="BU342" s="214"/>
      <c r="BV342" s="214"/>
      <c r="BW342" s="214"/>
      <c r="BX342" s="214"/>
      <c r="BY342" s="214"/>
      <c r="BZ342" s="214"/>
      <c r="CA342" s="214"/>
      <c r="CB342" s="214"/>
      <c r="CC342" s="214"/>
      <c r="CD342" s="214"/>
      <c r="CE342" s="214"/>
      <c r="CF342" s="214"/>
      <c r="CG342" s="214"/>
      <c r="CH342" s="214"/>
      <c r="CI342" s="214"/>
      <c r="CJ342" s="214"/>
      <c r="CK342" s="214"/>
      <c r="CL342" s="214"/>
      <c r="CM342" s="214"/>
      <c r="CN342" s="214"/>
      <c r="CO342" s="214"/>
      <c r="CP342" s="214"/>
      <c r="CQ342" s="214"/>
      <c r="CR342" s="214"/>
      <c r="CS342" s="214"/>
      <c r="CT342" s="214"/>
      <c r="CU342" s="214"/>
      <c r="CV342" s="214"/>
      <c r="CW342" s="214"/>
      <c r="CX342" s="214"/>
      <c r="CY342" s="214"/>
      <c r="CZ342" s="214"/>
      <c r="DA342" s="214"/>
      <c r="DB342" s="214"/>
      <c r="DC342" s="214"/>
      <c r="DD342" s="214"/>
      <c r="DE342" s="214"/>
      <c r="DF342" s="214"/>
      <c r="DG342" s="214"/>
      <c r="DH342" s="214"/>
      <c r="DI342" s="214"/>
      <c r="DJ342" s="214"/>
      <c r="DK342" s="214"/>
      <c r="DL342" s="214"/>
      <c r="DM342" s="214"/>
      <c r="DN342" s="214"/>
      <c r="DO342" s="214"/>
      <c r="DP342" s="214"/>
      <c r="DQ342" s="214"/>
      <c r="DR342" s="214"/>
      <c r="DS342" s="214"/>
      <c r="DT342" s="214"/>
      <c r="DU342" s="214"/>
      <c r="DV342" s="214"/>
      <c r="DW342" s="214"/>
      <c r="DX342" s="214"/>
      <c r="DY342" s="214"/>
      <c r="DZ342" s="214"/>
      <c r="EA342" s="214"/>
      <c r="EB342" s="214"/>
      <c r="EC342" s="214"/>
    </row>
    <row r="343" spans="21:133" s="226" customFormat="1" x14ac:dyDescent="0.15"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4"/>
      <c r="BN343" s="214"/>
      <c r="BO343" s="214"/>
      <c r="BP343" s="214"/>
      <c r="BQ343" s="214"/>
      <c r="BR343" s="214"/>
      <c r="BS343" s="214"/>
      <c r="BT343" s="214"/>
      <c r="BU343" s="214"/>
      <c r="BV343" s="214"/>
      <c r="BW343" s="214"/>
      <c r="BX343" s="214"/>
      <c r="BY343" s="214"/>
      <c r="BZ343" s="214"/>
      <c r="CA343" s="214"/>
      <c r="CB343" s="214"/>
      <c r="CC343" s="214"/>
      <c r="CD343" s="214"/>
      <c r="CE343" s="214"/>
      <c r="CF343" s="214"/>
      <c r="CG343" s="214"/>
      <c r="CH343" s="214"/>
      <c r="CI343" s="214"/>
      <c r="CJ343" s="214"/>
      <c r="CK343" s="214"/>
      <c r="CL343" s="214"/>
      <c r="CM343" s="214"/>
      <c r="CN343" s="214"/>
      <c r="CO343" s="214"/>
      <c r="CP343" s="214"/>
      <c r="CQ343" s="214"/>
      <c r="CR343" s="214"/>
      <c r="CS343" s="214"/>
      <c r="CT343" s="214"/>
      <c r="CU343" s="214"/>
      <c r="CV343" s="214"/>
      <c r="CW343" s="214"/>
      <c r="CX343" s="214"/>
      <c r="CY343" s="214"/>
      <c r="CZ343" s="214"/>
      <c r="DA343" s="214"/>
      <c r="DB343" s="214"/>
      <c r="DC343" s="214"/>
      <c r="DD343" s="214"/>
      <c r="DE343" s="214"/>
      <c r="DF343" s="214"/>
      <c r="DG343" s="214"/>
      <c r="DH343" s="214"/>
      <c r="DI343" s="214"/>
      <c r="DJ343" s="214"/>
      <c r="DK343" s="214"/>
      <c r="DL343" s="214"/>
      <c r="DM343" s="214"/>
      <c r="DN343" s="214"/>
      <c r="DO343" s="214"/>
      <c r="DP343" s="214"/>
      <c r="DQ343" s="214"/>
      <c r="DR343" s="214"/>
      <c r="DS343" s="214"/>
      <c r="DT343" s="214"/>
      <c r="DU343" s="214"/>
      <c r="DV343" s="214"/>
      <c r="DW343" s="214"/>
      <c r="DX343" s="214"/>
      <c r="DY343" s="214"/>
      <c r="DZ343" s="214"/>
      <c r="EA343" s="214"/>
      <c r="EB343" s="214"/>
      <c r="EC343" s="214"/>
    </row>
    <row r="344" spans="21:133" s="226" customFormat="1" x14ac:dyDescent="0.15"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4"/>
      <c r="BN344" s="214"/>
      <c r="BO344" s="214"/>
      <c r="BP344" s="214"/>
      <c r="BQ344" s="214"/>
      <c r="BR344" s="214"/>
      <c r="BS344" s="214"/>
      <c r="BT344" s="214"/>
      <c r="BU344" s="214"/>
      <c r="BV344" s="214"/>
      <c r="BW344" s="214"/>
      <c r="BX344" s="214"/>
      <c r="BY344" s="214"/>
      <c r="BZ344" s="214"/>
      <c r="CA344" s="214"/>
      <c r="CB344" s="214"/>
      <c r="CC344" s="214"/>
      <c r="CD344" s="214"/>
      <c r="CE344" s="214"/>
      <c r="CF344" s="214"/>
      <c r="CG344" s="214"/>
      <c r="CH344" s="214"/>
      <c r="CI344" s="214"/>
      <c r="CJ344" s="214"/>
      <c r="CK344" s="214"/>
      <c r="CL344" s="214"/>
      <c r="CM344" s="214"/>
      <c r="CN344" s="214"/>
      <c r="CO344" s="214"/>
      <c r="CP344" s="214"/>
      <c r="CQ344" s="214"/>
      <c r="CR344" s="214"/>
      <c r="CS344" s="214"/>
      <c r="CT344" s="214"/>
      <c r="CU344" s="214"/>
      <c r="CV344" s="214"/>
      <c r="CW344" s="214"/>
      <c r="CX344" s="214"/>
      <c r="CY344" s="214"/>
      <c r="CZ344" s="214"/>
      <c r="DA344" s="214"/>
      <c r="DB344" s="214"/>
      <c r="DC344" s="214"/>
      <c r="DD344" s="214"/>
      <c r="DE344" s="214"/>
      <c r="DF344" s="214"/>
      <c r="DG344" s="214"/>
      <c r="DH344" s="214"/>
      <c r="DI344" s="214"/>
      <c r="DJ344" s="214"/>
      <c r="DK344" s="214"/>
      <c r="DL344" s="214"/>
      <c r="DM344" s="214"/>
      <c r="DN344" s="214"/>
      <c r="DO344" s="214"/>
      <c r="DP344" s="214"/>
      <c r="DQ344" s="214"/>
      <c r="DR344" s="214"/>
      <c r="DS344" s="214"/>
      <c r="DT344" s="214"/>
      <c r="DU344" s="214"/>
      <c r="DV344" s="214"/>
      <c r="DW344" s="214"/>
      <c r="DX344" s="214"/>
      <c r="DY344" s="214"/>
      <c r="DZ344" s="214"/>
      <c r="EA344" s="214"/>
      <c r="EB344" s="214"/>
      <c r="EC344" s="214"/>
    </row>
    <row r="345" spans="21:133" s="226" customFormat="1" x14ac:dyDescent="0.15"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14"/>
      <c r="AE345" s="214"/>
      <c r="AF345" s="214"/>
      <c r="AG345" s="214"/>
      <c r="AH345" s="214"/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  <c r="BI345" s="214"/>
      <c r="BJ345" s="214"/>
      <c r="BK345" s="214"/>
      <c r="BL345" s="214"/>
      <c r="BM345" s="214"/>
      <c r="BN345" s="214"/>
      <c r="BO345" s="214"/>
      <c r="BP345" s="214"/>
      <c r="BQ345" s="214"/>
      <c r="BR345" s="214"/>
      <c r="BS345" s="214"/>
      <c r="BT345" s="214"/>
      <c r="BU345" s="214"/>
      <c r="BV345" s="214"/>
      <c r="BW345" s="214"/>
      <c r="BX345" s="214"/>
      <c r="BY345" s="214"/>
      <c r="BZ345" s="214"/>
      <c r="CA345" s="214"/>
      <c r="CB345" s="214"/>
      <c r="CC345" s="214"/>
      <c r="CD345" s="214"/>
      <c r="CE345" s="214"/>
      <c r="CF345" s="214"/>
      <c r="CG345" s="214"/>
      <c r="CH345" s="214"/>
      <c r="CI345" s="214"/>
      <c r="CJ345" s="214"/>
      <c r="CK345" s="214"/>
      <c r="CL345" s="214"/>
      <c r="CM345" s="214"/>
      <c r="CN345" s="214"/>
      <c r="CO345" s="214"/>
      <c r="CP345" s="214"/>
      <c r="CQ345" s="214"/>
      <c r="CR345" s="214"/>
      <c r="CS345" s="214"/>
      <c r="CT345" s="214"/>
      <c r="CU345" s="214"/>
      <c r="CV345" s="214"/>
      <c r="CW345" s="214"/>
      <c r="CX345" s="214"/>
      <c r="CY345" s="214"/>
      <c r="CZ345" s="214"/>
      <c r="DA345" s="214"/>
      <c r="DB345" s="214"/>
      <c r="DC345" s="214"/>
      <c r="DD345" s="214"/>
      <c r="DE345" s="214"/>
      <c r="DF345" s="214"/>
      <c r="DG345" s="214"/>
      <c r="DH345" s="214"/>
      <c r="DI345" s="214"/>
      <c r="DJ345" s="214"/>
      <c r="DK345" s="214"/>
      <c r="DL345" s="214"/>
      <c r="DM345" s="214"/>
      <c r="DN345" s="214"/>
      <c r="DO345" s="214"/>
      <c r="DP345" s="214"/>
      <c r="DQ345" s="214"/>
      <c r="DR345" s="214"/>
      <c r="DS345" s="214"/>
      <c r="DT345" s="214"/>
      <c r="DU345" s="214"/>
      <c r="DV345" s="214"/>
      <c r="DW345" s="214"/>
      <c r="DX345" s="214"/>
      <c r="DY345" s="214"/>
      <c r="DZ345" s="214"/>
      <c r="EA345" s="214"/>
      <c r="EB345" s="214"/>
      <c r="EC345" s="214"/>
    </row>
    <row r="346" spans="21:133" s="226" customFormat="1" x14ac:dyDescent="0.15"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14"/>
      <c r="AE346" s="214"/>
      <c r="AF346" s="214"/>
      <c r="AG346" s="214"/>
      <c r="AH346" s="214"/>
      <c r="AI346" s="214"/>
      <c r="AJ346" s="214"/>
      <c r="AK346" s="214"/>
      <c r="AL346" s="214"/>
      <c r="AM346" s="214"/>
      <c r="AN346" s="214"/>
      <c r="AO346" s="214"/>
      <c r="AP346" s="214"/>
      <c r="AQ346" s="214"/>
      <c r="AR346" s="214"/>
      <c r="AS346" s="214"/>
      <c r="AT346" s="214"/>
      <c r="AU346" s="214"/>
      <c r="AV346" s="214"/>
      <c r="AW346" s="214"/>
      <c r="AX346" s="214"/>
      <c r="AY346" s="214"/>
      <c r="AZ346" s="214"/>
      <c r="BA346" s="214"/>
      <c r="BB346" s="214"/>
      <c r="BC346" s="214"/>
      <c r="BD346" s="214"/>
      <c r="BE346" s="214"/>
      <c r="BF346" s="214"/>
      <c r="BG346" s="214"/>
      <c r="BH346" s="214"/>
      <c r="BI346" s="214"/>
      <c r="BJ346" s="214"/>
      <c r="BK346" s="214"/>
      <c r="BL346" s="214"/>
      <c r="BM346" s="214"/>
      <c r="BN346" s="214"/>
      <c r="BO346" s="214"/>
      <c r="BP346" s="214"/>
      <c r="BQ346" s="214"/>
      <c r="BR346" s="214"/>
      <c r="BS346" s="214"/>
      <c r="BT346" s="214"/>
      <c r="BU346" s="214"/>
      <c r="BV346" s="214"/>
      <c r="BW346" s="214"/>
      <c r="BX346" s="214"/>
      <c r="BY346" s="214"/>
      <c r="BZ346" s="214"/>
      <c r="CA346" s="214"/>
      <c r="CB346" s="214"/>
      <c r="CC346" s="214"/>
      <c r="CD346" s="214"/>
      <c r="CE346" s="214"/>
      <c r="CF346" s="214"/>
      <c r="CG346" s="214"/>
      <c r="CH346" s="214"/>
      <c r="CI346" s="214"/>
      <c r="CJ346" s="214"/>
      <c r="CK346" s="214"/>
      <c r="CL346" s="214"/>
      <c r="CM346" s="214"/>
      <c r="CN346" s="214"/>
      <c r="CO346" s="214"/>
      <c r="CP346" s="214"/>
      <c r="CQ346" s="214"/>
      <c r="CR346" s="214"/>
      <c r="CS346" s="214"/>
      <c r="CT346" s="214"/>
      <c r="CU346" s="214"/>
      <c r="CV346" s="214"/>
      <c r="CW346" s="214"/>
      <c r="CX346" s="214"/>
      <c r="CY346" s="214"/>
      <c r="CZ346" s="214"/>
      <c r="DA346" s="214"/>
      <c r="DB346" s="214"/>
      <c r="DC346" s="214"/>
      <c r="DD346" s="214"/>
      <c r="DE346" s="214"/>
      <c r="DF346" s="214"/>
      <c r="DG346" s="214"/>
      <c r="DH346" s="214"/>
      <c r="DI346" s="214"/>
      <c r="DJ346" s="214"/>
      <c r="DK346" s="214"/>
      <c r="DL346" s="214"/>
      <c r="DM346" s="214"/>
      <c r="DN346" s="214"/>
      <c r="DO346" s="214"/>
      <c r="DP346" s="214"/>
      <c r="DQ346" s="214"/>
      <c r="DR346" s="214"/>
      <c r="DS346" s="214"/>
      <c r="DT346" s="214"/>
      <c r="DU346" s="214"/>
      <c r="DV346" s="214"/>
      <c r="DW346" s="214"/>
      <c r="DX346" s="214"/>
      <c r="DY346" s="214"/>
      <c r="DZ346" s="214"/>
      <c r="EA346" s="214"/>
      <c r="EB346" s="214"/>
      <c r="EC346" s="214"/>
    </row>
    <row r="347" spans="21:133" s="226" customFormat="1" x14ac:dyDescent="0.15"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14"/>
      <c r="AE347" s="214"/>
      <c r="AF347" s="214"/>
      <c r="AG347" s="214"/>
      <c r="AH347" s="214"/>
      <c r="AI347" s="214"/>
      <c r="AJ347" s="214"/>
      <c r="AK347" s="214"/>
      <c r="AL347" s="214"/>
      <c r="AM347" s="214"/>
      <c r="AN347" s="214"/>
      <c r="AO347" s="214"/>
      <c r="AP347" s="214"/>
      <c r="AQ347" s="214"/>
      <c r="AR347" s="214"/>
      <c r="AS347" s="214"/>
      <c r="AT347" s="214"/>
      <c r="AU347" s="214"/>
      <c r="AV347" s="214"/>
      <c r="AW347" s="214"/>
      <c r="AX347" s="214"/>
      <c r="AY347" s="214"/>
      <c r="AZ347" s="214"/>
      <c r="BA347" s="214"/>
      <c r="BB347" s="214"/>
      <c r="BC347" s="214"/>
      <c r="BD347" s="214"/>
      <c r="BE347" s="214"/>
      <c r="BF347" s="214"/>
      <c r="BG347" s="214"/>
      <c r="BH347" s="214"/>
      <c r="BI347" s="214"/>
      <c r="BJ347" s="214"/>
      <c r="BK347" s="214"/>
      <c r="BL347" s="214"/>
      <c r="BM347" s="214"/>
      <c r="BN347" s="214"/>
      <c r="BO347" s="214"/>
      <c r="BP347" s="214"/>
      <c r="BQ347" s="214"/>
      <c r="BR347" s="214"/>
      <c r="BS347" s="214"/>
      <c r="BT347" s="214"/>
      <c r="BU347" s="214"/>
      <c r="BV347" s="214"/>
      <c r="BW347" s="214"/>
      <c r="BX347" s="214"/>
      <c r="BY347" s="214"/>
      <c r="BZ347" s="214"/>
      <c r="CA347" s="214"/>
      <c r="CB347" s="214"/>
      <c r="CC347" s="214"/>
      <c r="CD347" s="214"/>
      <c r="CE347" s="214"/>
      <c r="CF347" s="214"/>
      <c r="CG347" s="214"/>
      <c r="CH347" s="214"/>
      <c r="CI347" s="214"/>
      <c r="CJ347" s="214"/>
      <c r="CK347" s="214"/>
      <c r="CL347" s="214"/>
      <c r="CM347" s="214"/>
      <c r="CN347" s="214"/>
      <c r="CO347" s="214"/>
      <c r="CP347" s="214"/>
      <c r="CQ347" s="214"/>
      <c r="CR347" s="214"/>
      <c r="CS347" s="214"/>
      <c r="CT347" s="214"/>
      <c r="CU347" s="214"/>
      <c r="CV347" s="214"/>
      <c r="CW347" s="214"/>
      <c r="CX347" s="214"/>
      <c r="CY347" s="214"/>
      <c r="CZ347" s="214"/>
      <c r="DA347" s="214"/>
      <c r="DB347" s="214"/>
      <c r="DC347" s="214"/>
      <c r="DD347" s="214"/>
      <c r="DE347" s="214"/>
      <c r="DF347" s="214"/>
      <c r="DG347" s="214"/>
      <c r="DH347" s="214"/>
      <c r="DI347" s="214"/>
      <c r="DJ347" s="214"/>
      <c r="DK347" s="214"/>
      <c r="DL347" s="214"/>
      <c r="DM347" s="214"/>
      <c r="DN347" s="214"/>
      <c r="DO347" s="214"/>
      <c r="DP347" s="214"/>
      <c r="DQ347" s="214"/>
      <c r="DR347" s="214"/>
      <c r="DS347" s="214"/>
      <c r="DT347" s="214"/>
      <c r="DU347" s="214"/>
      <c r="DV347" s="214"/>
      <c r="DW347" s="214"/>
      <c r="DX347" s="214"/>
      <c r="DY347" s="214"/>
      <c r="DZ347" s="214"/>
      <c r="EA347" s="214"/>
      <c r="EB347" s="214"/>
      <c r="EC347" s="214"/>
    </row>
    <row r="348" spans="21:133" s="226" customFormat="1" x14ac:dyDescent="0.15"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14"/>
      <c r="AE348" s="214"/>
      <c r="AF348" s="214"/>
      <c r="AG348" s="214"/>
      <c r="AH348" s="214"/>
      <c r="AI348" s="214"/>
      <c r="AJ348" s="214"/>
      <c r="AK348" s="214"/>
      <c r="AL348" s="214"/>
      <c r="AM348" s="214"/>
      <c r="AN348" s="214"/>
      <c r="AO348" s="214"/>
      <c r="AP348" s="214"/>
      <c r="AQ348" s="214"/>
      <c r="AR348" s="214"/>
      <c r="AS348" s="214"/>
      <c r="AT348" s="214"/>
      <c r="AU348" s="214"/>
      <c r="AV348" s="214"/>
      <c r="AW348" s="214"/>
      <c r="AX348" s="214"/>
      <c r="AY348" s="214"/>
      <c r="AZ348" s="214"/>
      <c r="BA348" s="214"/>
      <c r="BB348" s="214"/>
      <c r="BC348" s="214"/>
      <c r="BD348" s="214"/>
      <c r="BE348" s="214"/>
      <c r="BF348" s="214"/>
      <c r="BG348" s="214"/>
      <c r="BH348" s="214"/>
      <c r="BI348" s="214"/>
      <c r="BJ348" s="214"/>
      <c r="BK348" s="214"/>
      <c r="BL348" s="214"/>
      <c r="BM348" s="214"/>
      <c r="BN348" s="214"/>
      <c r="BO348" s="214"/>
      <c r="BP348" s="214"/>
      <c r="BQ348" s="214"/>
      <c r="BR348" s="214"/>
      <c r="BS348" s="214"/>
      <c r="BT348" s="214"/>
      <c r="BU348" s="214"/>
      <c r="BV348" s="214"/>
      <c r="BW348" s="214"/>
      <c r="BX348" s="214"/>
      <c r="BY348" s="214"/>
      <c r="BZ348" s="214"/>
      <c r="CA348" s="214"/>
      <c r="CB348" s="214"/>
      <c r="CC348" s="214"/>
      <c r="CD348" s="214"/>
      <c r="CE348" s="214"/>
      <c r="CF348" s="214"/>
      <c r="CG348" s="214"/>
      <c r="CH348" s="214"/>
      <c r="CI348" s="214"/>
      <c r="CJ348" s="214"/>
      <c r="CK348" s="214"/>
      <c r="CL348" s="214"/>
      <c r="CM348" s="214"/>
      <c r="CN348" s="214"/>
      <c r="CO348" s="214"/>
      <c r="CP348" s="214"/>
      <c r="CQ348" s="214"/>
      <c r="CR348" s="214"/>
      <c r="CS348" s="214"/>
      <c r="CT348" s="214"/>
      <c r="CU348" s="214"/>
      <c r="CV348" s="214"/>
      <c r="CW348" s="214"/>
      <c r="CX348" s="214"/>
      <c r="CY348" s="214"/>
      <c r="CZ348" s="214"/>
      <c r="DA348" s="214"/>
      <c r="DB348" s="214"/>
      <c r="DC348" s="214"/>
      <c r="DD348" s="214"/>
      <c r="DE348" s="214"/>
      <c r="DF348" s="214"/>
      <c r="DG348" s="214"/>
      <c r="DH348" s="214"/>
      <c r="DI348" s="214"/>
      <c r="DJ348" s="214"/>
      <c r="DK348" s="214"/>
      <c r="DL348" s="214"/>
      <c r="DM348" s="214"/>
      <c r="DN348" s="214"/>
      <c r="DO348" s="214"/>
      <c r="DP348" s="214"/>
      <c r="DQ348" s="214"/>
      <c r="DR348" s="214"/>
      <c r="DS348" s="214"/>
      <c r="DT348" s="214"/>
      <c r="DU348" s="214"/>
      <c r="DV348" s="214"/>
      <c r="DW348" s="214"/>
      <c r="DX348" s="214"/>
      <c r="DY348" s="214"/>
      <c r="DZ348" s="214"/>
      <c r="EA348" s="214"/>
      <c r="EB348" s="214"/>
      <c r="EC348" s="214"/>
    </row>
    <row r="349" spans="21:133" s="226" customFormat="1" x14ac:dyDescent="0.15"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14"/>
      <c r="AE349" s="214"/>
      <c r="AF349" s="214"/>
      <c r="AG349" s="214"/>
      <c r="AH349" s="214"/>
      <c r="AI349" s="214"/>
      <c r="AJ349" s="214"/>
      <c r="AK349" s="214"/>
      <c r="AL349" s="214"/>
      <c r="AM349" s="214"/>
      <c r="AN349" s="214"/>
      <c r="AO349" s="214"/>
      <c r="AP349" s="214"/>
      <c r="AQ349" s="214"/>
      <c r="AR349" s="214"/>
      <c r="AS349" s="214"/>
      <c r="AT349" s="214"/>
      <c r="AU349" s="214"/>
      <c r="AV349" s="214"/>
      <c r="AW349" s="214"/>
      <c r="AX349" s="214"/>
      <c r="AY349" s="214"/>
      <c r="AZ349" s="214"/>
      <c r="BA349" s="214"/>
      <c r="BB349" s="214"/>
      <c r="BC349" s="214"/>
      <c r="BD349" s="214"/>
      <c r="BE349" s="214"/>
      <c r="BF349" s="214"/>
      <c r="BG349" s="214"/>
      <c r="BH349" s="214"/>
      <c r="BI349" s="214"/>
      <c r="BJ349" s="214"/>
      <c r="BK349" s="214"/>
      <c r="BL349" s="214"/>
      <c r="BM349" s="214"/>
      <c r="BN349" s="214"/>
      <c r="BO349" s="214"/>
      <c r="BP349" s="214"/>
      <c r="BQ349" s="214"/>
      <c r="BR349" s="214"/>
      <c r="BS349" s="214"/>
      <c r="BT349" s="214"/>
      <c r="BU349" s="214"/>
      <c r="BV349" s="214"/>
      <c r="BW349" s="214"/>
      <c r="BX349" s="214"/>
      <c r="BY349" s="214"/>
      <c r="BZ349" s="214"/>
      <c r="CA349" s="214"/>
      <c r="CB349" s="214"/>
      <c r="CC349" s="214"/>
      <c r="CD349" s="214"/>
      <c r="CE349" s="214"/>
      <c r="CF349" s="214"/>
      <c r="CG349" s="214"/>
      <c r="CH349" s="214"/>
      <c r="CI349" s="214"/>
      <c r="CJ349" s="214"/>
      <c r="CK349" s="214"/>
      <c r="CL349" s="214"/>
      <c r="CM349" s="214"/>
      <c r="CN349" s="214"/>
      <c r="CO349" s="214"/>
      <c r="CP349" s="214"/>
      <c r="CQ349" s="214"/>
      <c r="CR349" s="214"/>
      <c r="CS349" s="214"/>
      <c r="CT349" s="214"/>
      <c r="CU349" s="214"/>
      <c r="CV349" s="214"/>
      <c r="CW349" s="214"/>
      <c r="CX349" s="214"/>
      <c r="CY349" s="214"/>
      <c r="CZ349" s="214"/>
      <c r="DA349" s="214"/>
      <c r="DB349" s="214"/>
      <c r="DC349" s="214"/>
      <c r="DD349" s="214"/>
      <c r="DE349" s="214"/>
      <c r="DF349" s="214"/>
      <c r="DG349" s="214"/>
      <c r="DH349" s="214"/>
      <c r="DI349" s="214"/>
      <c r="DJ349" s="214"/>
      <c r="DK349" s="214"/>
      <c r="DL349" s="214"/>
      <c r="DM349" s="214"/>
      <c r="DN349" s="214"/>
      <c r="DO349" s="214"/>
      <c r="DP349" s="214"/>
      <c r="DQ349" s="214"/>
      <c r="DR349" s="214"/>
      <c r="DS349" s="214"/>
      <c r="DT349" s="214"/>
      <c r="DU349" s="214"/>
      <c r="DV349" s="214"/>
      <c r="DW349" s="214"/>
      <c r="DX349" s="214"/>
      <c r="DY349" s="214"/>
      <c r="DZ349" s="214"/>
      <c r="EA349" s="214"/>
      <c r="EB349" s="214"/>
      <c r="EC349" s="214"/>
    </row>
    <row r="350" spans="21:133" s="226" customFormat="1" x14ac:dyDescent="0.15"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14"/>
      <c r="AE350" s="214"/>
      <c r="AF350" s="214"/>
      <c r="AG350" s="214"/>
      <c r="AH350" s="214"/>
      <c r="AI350" s="214"/>
      <c r="AJ350" s="214"/>
      <c r="AK350" s="214"/>
      <c r="AL350" s="214"/>
      <c r="AM350" s="214"/>
      <c r="AN350" s="214"/>
      <c r="AO350" s="214"/>
      <c r="AP350" s="214"/>
      <c r="AQ350" s="214"/>
      <c r="AR350" s="214"/>
      <c r="AS350" s="214"/>
      <c r="AT350" s="214"/>
      <c r="AU350" s="214"/>
      <c r="AV350" s="214"/>
      <c r="AW350" s="214"/>
      <c r="AX350" s="214"/>
      <c r="AY350" s="214"/>
      <c r="AZ350" s="214"/>
      <c r="BA350" s="214"/>
      <c r="BB350" s="214"/>
      <c r="BC350" s="214"/>
      <c r="BD350" s="214"/>
      <c r="BE350" s="214"/>
      <c r="BF350" s="214"/>
      <c r="BG350" s="214"/>
      <c r="BH350" s="214"/>
      <c r="BI350" s="214"/>
      <c r="BJ350" s="214"/>
      <c r="BK350" s="214"/>
      <c r="BL350" s="214"/>
      <c r="BM350" s="214"/>
      <c r="BN350" s="214"/>
      <c r="BO350" s="214"/>
      <c r="BP350" s="214"/>
      <c r="BQ350" s="214"/>
      <c r="BR350" s="214"/>
      <c r="BS350" s="214"/>
      <c r="BT350" s="214"/>
      <c r="BU350" s="214"/>
      <c r="BV350" s="214"/>
      <c r="BW350" s="214"/>
      <c r="BX350" s="214"/>
      <c r="BY350" s="214"/>
      <c r="BZ350" s="214"/>
      <c r="CA350" s="214"/>
      <c r="CB350" s="214"/>
      <c r="CC350" s="214"/>
      <c r="CD350" s="214"/>
      <c r="CE350" s="214"/>
      <c r="CF350" s="214"/>
      <c r="CG350" s="214"/>
      <c r="CH350" s="214"/>
      <c r="CI350" s="214"/>
      <c r="CJ350" s="214"/>
      <c r="CK350" s="214"/>
      <c r="CL350" s="214"/>
      <c r="CM350" s="214"/>
      <c r="CN350" s="214"/>
      <c r="CO350" s="214"/>
      <c r="CP350" s="214"/>
      <c r="CQ350" s="214"/>
      <c r="CR350" s="214"/>
      <c r="CS350" s="214"/>
      <c r="CT350" s="214"/>
      <c r="CU350" s="214"/>
      <c r="CV350" s="214"/>
      <c r="CW350" s="214"/>
      <c r="CX350" s="214"/>
      <c r="CY350" s="214"/>
      <c r="CZ350" s="214"/>
      <c r="DA350" s="214"/>
      <c r="DB350" s="214"/>
      <c r="DC350" s="214"/>
      <c r="DD350" s="214"/>
      <c r="DE350" s="214"/>
      <c r="DF350" s="214"/>
      <c r="DG350" s="214"/>
      <c r="DH350" s="214"/>
      <c r="DI350" s="214"/>
      <c r="DJ350" s="214"/>
      <c r="DK350" s="214"/>
      <c r="DL350" s="214"/>
      <c r="DM350" s="214"/>
      <c r="DN350" s="214"/>
      <c r="DO350" s="214"/>
      <c r="DP350" s="214"/>
      <c r="DQ350" s="214"/>
      <c r="DR350" s="214"/>
      <c r="DS350" s="214"/>
      <c r="DT350" s="214"/>
      <c r="DU350" s="214"/>
      <c r="DV350" s="214"/>
      <c r="DW350" s="214"/>
      <c r="DX350" s="214"/>
      <c r="DY350" s="214"/>
      <c r="DZ350" s="214"/>
      <c r="EA350" s="214"/>
      <c r="EB350" s="214"/>
      <c r="EC350" s="214"/>
    </row>
    <row r="351" spans="21:133" s="226" customFormat="1" x14ac:dyDescent="0.15"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14"/>
      <c r="AE351" s="214"/>
      <c r="AF351" s="214"/>
      <c r="AG351" s="214"/>
      <c r="AH351" s="214"/>
      <c r="AI351" s="214"/>
      <c r="AJ351" s="214"/>
      <c r="AK351" s="214"/>
      <c r="AL351" s="214"/>
      <c r="AM351" s="214"/>
      <c r="AN351" s="214"/>
      <c r="AO351" s="214"/>
      <c r="AP351" s="214"/>
      <c r="AQ351" s="214"/>
      <c r="AR351" s="214"/>
      <c r="AS351" s="214"/>
      <c r="AT351" s="214"/>
      <c r="AU351" s="214"/>
      <c r="AV351" s="214"/>
      <c r="AW351" s="214"/>
      <c r="AX351" s="214"/>
      <c r="AY351" s="214"/>
      <c r="AZ351" s="214"/>
      <c r="BA351" s="214"/>
      <c r="BB351" s="214"/>
      <c r="BC351" s="214"/>
      <c r="BD351" s="214"/>
      <c r="BE351" s="214"/>
      <c r="BF351" s="214"/>
      <c r="BG351" s="214"/>
      <c r="BH351" s="214"/>
      <c r="BI351" s="214"/>
      <c r="BJ351" s="214"/>
      <c r="BK351" s="214"/>
      <c r="BL351" s="214"/>
      <c r="BM351" s="214"/>
      <c r="BN351" s="214"/>
      <c r="BO351" s="214"/>
      <c r="BP351" s="214"/>
      <c r="BQ351" s="214"/>
      <c r="BR351" s="214"/>
      <c r="BS351" s="214"/>
      <c r="BT351" s="214"/>
      <c r="BU351" s="214"/>
      <c r="BV351" s="214"/>
      <c r="BW351" s="214"/>
      <c r="BX351" s="214"/>
      <c r="BY351" s="214"/>
      <c r="BZ351" s="214"/>
      <c r="CA351" s="214"/>
      <c r="CB351" s="214"/>
      <c r="CC351" s="214"/>
      <c r="CD351" s="214"/>
      <c r="CE351" s="214"/>
      <c r="CF351" s="214"/>
      <c r="CG351" s="214"/>
      <c r="CH351" s="214"/>
      <c r="CI351" s="214"/>
      <c r="CJ351" s="214"/>
      <c r="CK351" s="214"/>
      <c r="CL351" s="214"/>
      <c r="CM351" s="214"/>
      <c r="CN351" s="214"/>
      <c r="CO351" s="214"/>
      <c r="CP351" s="214"/>
      <c r="CQ351" s="214"/>
      <c r="CR351" s="214"/>
      <c r="CS351" s="214"/>
      <c r="CT351" s="214"/>
      <c r="CU351" s="214"/>
      <c r="CV351" s="214"/>
      <c r="CW351" s="214"/>
      <c r="CX351" s="214"/>
      <c r="CY351" s="214"/>
      <c r="CZ351" s="214"/>
      <c r="DA351" s="214"/>
      <c r="DB351" s="214"/>
      <c r="DC351" s="214"/>
      <c r="DD351" s="214"/>
      <c r="DE351" s="214"/>
      <c r="DF351" s="214"/>
      <c r="DG351" s="214"/>
      <c r="DH351" s="214"/>
      <c r="DI351" s="214"/>
      <c r="DJ351" s="214"/>
      <c r="DK351" s="214"/>
      <c r="DL351" s="214"/>
      <c r="DM351" s="214"/>
      <c r="DN351" s="214"/>
      <c r="DO351" s="214"/>
      <c r="DP351" s="214"/>
      <c r="DQ351" s="214"/>
      <c r="DR351" s="214"/>
      <c r="DS351" s="214"/>
      <c r="DT351" s="214"/>
      <c r="DU351" s="214"/>
      <c r="DV351" s="214"/>
      <c r="DW351" s="214"/>
      <c r="DX351" s="214"/>
      <c r="DY351" s="214"/>
      <c r="DZ351" s="214"/>
      <c r="EA351" s="214"/>
      <c r="EB351" s="214"/>
      <c r="EC351" s="214"/>
    </row>
    <row r="352" spans="21:133" s="226" customFormat="1" x14ac:dyDescent="0.15"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14"/>
      <c r="AE352" s="214"/>
      <c r="AF352" s="214"/>
      <c r="AG352" s="214"/>
      <c r="AH352" s="214"/>
      <c r="AI352" s="214"/>
      <c r="AJ352" s="214"/>
      <c r="AK352" s="214"/>
      <c r="AL352" s="214"/>
      <c r="AM352" s="214"/>
      <c r="AN352" s="214"/>
      <c r="AO352" s="214"/>
      <c r="AP352" s="214"/>
      <c r="AQ352" s="214"/>
      <c r="AR352" s="214"/>
      <c r="AS352" s="214"/>
      <c r="AT352" s="214"/>
      <c r="AU352" s="214"/>
      <c r="AV352" s="214"/>
      <c r="AW352" s="214"/>
      <c r="AX352" s="214"/>
      <c r="AY352" s="214"/>
      <c r="AZ352" s="214"/>
      <c r="BA352" s="214"/>
      <c r="BB352" s="214"/>
      <c r="BC352" s="214"/>
      <c r="BD352" s="214"/>
      <c r="BE352" s="214"/>
      <c r="BF352" s="214"/>
      <c r="BG352" s="214"/>
      <c r="BH352" s="214"/>
      <c r="BI352" s="214"/>
      <c r="BJ352" s="214"/>
      <c r="BK352" s="214"/>
      <c r="BL352" s="214"/>
      <c r="BM352" s="214"/>
      <c r="BN352" s="214"/>
      <c r="BO352" s="214"/>
      <c r="BP352" s="214"/>
      <c r="BQ352" s="214"/>
      <c r="BR352" s="214"/>
      <c r="BS352" s="214"/>
      <c r="BT352" s="214"/>
      <c r="BU352" s="214"/>
      <c r="BV352" s="214"/>
      <c r="BW352" s="214"/>
      <c r="BX352" s="214"/>
      <c r="BY352" s="214"/>
      <c r="BZ352" s="214"/>
      <c r="CA352" s="214"/>
      <c r="CB352" s="214"/>
      <c r="CC352" s="214"/>
      <c r="CD352" s="214"/>
      <c r="CE352" s="214"/>
      <c r="CF352" s="214"/>
      <c r="CG352" s="214"/>
      <c r="CH352" s="214"/>
      <c r="CI352" s="214"/>
      <c r="CJ352" s="214"/>
      <c r="CK352" s="214"/>
      <c r="CL352" s="214"/>
      <c r="CM352" s="214"/>
      <c r="CN352" s="214"/>
      <c r="CO352" s="214"/>
      <c r="CP352" s="214"/>
      <c r="CQ352" s="214"/>
      <c r="CR352" s="214"/>
      <c r="CS352" s="214"/>
      <c r="CT352" s="214"/>
      <c r="CU352" s="214"/>
      <c r="CV352" s="214"/>
      <c r="CW352" s="214"/>
      <c r="CX352" s="214"/>
      <c r="CY352" s="214"/>
      <c r="CZ352" s="214"/>
      <c r="DA352" s="214"/>
      <c r="DB352" s="214"/>
      <c r="DC352" s="214"/>
      <c r="DD352" s="214"/>
      <c r="DE352" s="214"/>
      <c r="DF352" s="214"/>
      <c r="DG352" s="214"/>
      <c r="DH352" s="214"/>
      <c r="DI352" s="214"/>
      <c r="DJ352" s="214"/>
      <c r="DK352" s="214"/>
      <c r="DL352" s="214"/>
      <c r="DM352" s="214"/>
      <c r="DN352" s="214"/>
      <c r="DO352" s="214"/>
      <c r="DP352" s="214"/>
      <c r="DQ352" s="214"/>
      <c r="DR352" s="214"/>
      <c r="DS352" s="214"/>
      <c r="DT352" s="214"/>
      <c r="DU352" s="214"/>
      <c r="DV352" s="214"/>
      <c r="DW352" s="214"/>
      <c r="DX352" s="214"/>
      <c r="DY352" s="214"/>
      <c r="DZ352" s="214"/>
      <c r="EA352" s="214"/>
      <c r="EB352" s="214"/>
      <c r="EC352" s="214"/>
    </row>
    <row r="353" spans="21:133" s="226" customFormat="1" x14ac:dyDescent="0.15"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14"/>
      <c r="AE353" s="214"/>
      <c r="AF353" s="214"/>
      <c r="AG353" s="214"/>
      <c r="AH353" s="214"/>
      <c r="AI353" s="214"/>
      <c r="AJ353" s="214"/>
      <c r="AK353" s="214"/>
      <c r="AL353" s="214"/>
      <c r="AM353" s="214"/>
      <c r="AN353" s="214"/>
      <c r="AO353" s="214"/>
      <c r="AP353" s="214"/>
      <c r="AQ353" s="214"/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/>
      <c r="BC353" s="214"/>
      <c r="BD353" s="214"/>
      <c r="BE353" s="214"/>
      <c r="BF353" s="214"/>
      <c r="BG353" s="214"/>
      <c r="BH353" s="214"/>
      <c r="BI353" s="214"/>
      <c r="BJ353" s="214"/>
      <c r="BK353" s="214"/>
      <c r="BL353" s="214"/>
      <c r="BM353" s="214"/>
      <c r="BN353" s="214"/>
      <c r="BO353" s="214"/>
      <c r="BP353" s="214"/>
      <c r="BQ353" s="214"/>
      <c r="BR353" s="214"/>
      <c r="BS353" s="214"/>
      <c r="BT353" s="214"/>
      <c r="BU353" s="214"/>
      <c r="BV353" s="214"/>
      <c r="BW353" s="214"/>
      <c r="BX353" s="214"/>
      <c r="BY353" s="214"/>
      <c r="BZ353" s="214"/>
      <c r="CA353" s="214"/>
      <c r="CB353" s="214"/>
      <c r="CC353" s="214"/>
      <c r="CD353" s="214"/>
      <c r="CE353" s="214"/>
      <c r="CF353" s="214"/>
      <c r="CG353" s="214"/>
      <c r="CH353" s="214"/>
      <c r="CI353" s="214"/>
      <c r="CJ353" s="214"/>
      <c r="CK353" s="214"/>
      <c r="CL353" s="214"/>
      <c r="CM353" s="214"/>
      <c r="CN353" s="214"/>
      <c r="CO353" s="214"/>
      <c r="CP353" s="214"/>
      <c r="CQ353" s="214"/>
      <c r="CR353" s="214"/>
      <c r="CS353" s="214"/>
      <c r="CT353" s="214"/>
      <c r="CU353" s="214"/>
      <c r="CV353" s="214"/>
      <c r="CW353" s="214"/>
      <c r="CX353" s="214"/>
      <c r="CY353" s="214"/>
      <c r="CZ353" s="214"/>
      <c r="DA353" s="214"/>
      <c r="DB353" s="214"/>
      <c r="DC353" s="214"/>
      <c r="DD353" s="214"/>
      <c r="DE353" s="214"/>
      <c r="DF353" s="214"/>
      <c r="DG353" s="214"/>
      <c r="DH353" s="214"/>
      <c r="DI353" s="214"/>
      <c r="DJ353" s="214"/>
      <c r="DK353" s="214"/>
      <c r="DL353" s="214"/>
      <c r="DM353" s="214"/>
      <c r="DN353" s="214"/>
      <c r="DO353" s="214"/>
      <c r="DP353" s="214"/>
      <c r="DQ353" s="214"/>
      <c r="DR353" s="214"/>
      <c r="DS353" s="214"/>
      <c r="DT353" s="214"/>
      <c r="DU353" s="214"/>
      <c r="DV353" s="214"/>
      <c r="DW353" s="214"/>
      <c r="DX353" s="214"/>
      <c r="DY353" s="214"/>
      <c r="DZ353" s="214"/>
      <c r="EA353" s="214"/>
      <c r="EB353" s="214"/>
      <c r="EC353" s="214"/>
    </row>
    <row r="354" spans="21:133" s="226" customFormat="1" x14ac:dyDescent="0.15"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14"/>
      <c r="AE354" s="214"/>
      <c r="AF354" s="214"/>
      <c r="AG354" s="214"/>
      <c r="AH354" s="214"/>
      <c r="AI354" s="214"/>
      <c r="AJ354" s="214"/>
      <c r="AK354" s="214"/>
      <c r="AL354" s="214"/>
      <c r="AM354" s="214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4"/>
      <c r="BL354" s="214"/>
      <c r="BM354" s="214"/>
      <c r="BN354" s="214"/>
      <c r="BO354" s="214"/>
      <c r="BP354" s="214"/>
      <c r="BQ354" s="214"/>
      <c r="BR354" s="214"/>
      <c r="BS354" s="214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4"/>
      <c r="CJ354" s="214"/>
      <c r="CK354" s="214"/>
      <c r="CL354" s="214"/>
      <c r="CM354" s="214"/>
      <c r="CN354" s="214"/>
      <c r="CO354" s="214"/>
      <c r="CP354" s="214"/>
      <c r="CQ354" s="214"/>
      <c r="CR354" s="214"/>
      <c r="CS354" s="214"/>
      <c r="CT354" s="214"/>
      <c r="CU354" s="214"/>
      <c r="CV354" s="214"/>
      <c r="CW354" s="214"/>
      <c r="CX354" s="214"/>
      <c r="CY354" s="214"/>
      <c r="CZ354" s="214"/>
      <c r="DA354" s="214"/>
      <c r="DB354" s="214"/>
      <c r="DC354" s="214"/>
      <c r="DD354" s="214"/>
      <c r="DE354" s="214"/>
      <c r="DF354" s="214"/>
      <c r="DG354" s="214"/>
      <c r="DH354" s="214"/>
      <c r="DI354" s="214"/>
      <c r="DJ354" s="214"/>
      <c r="DK354" s="214"/>
      <c r="DL354" s="214"/>
      <c r="DM354" s="214"/>
      <c r="DN354" s="214"/>
      <c r="DO354" s="214"/>
      <c r="DP354" s="214"/>
      <c r="DQ354" s="214"/>
      <c r="DR354" s="214"/>
      <c r="DS354" s="214"/>
      <c r="DT354" s="214"/>
      <c r="DU354" s="214"/>
      <c r="DV354" s="214"/>
      <c r="DW354" s="214"/>
      <c r="DX354" s="214"/>
      <c r="DY354" s="214"/>
      <c r="DZ354" s="214"/>
      <c r="EA354" s="214"/>
      <c r="EB354" s="214"/>
      <c r="EC354" s="214"/>
    </row>
    <row r="355" spans="21:133" s="226" customFormat="1" x14ac:dyDescent="0.15"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14"/>
      <c r="AE355" s="214"/>
      <c r="AF355" s="214"/>
      <c r="AG355" s="214"/>
      <c r="AH355" s="214"/>
      <c r="AI355" s="214"/>
      <c r="AJ355" s="214"/>
      <c r="AK355" s="214"/>
      <c r="AL355" s="214"/>
      <c r="AM355" s="214"/>
      <c r="AN355" s="214"/>
      <c r="AO355" s="214"/>
      <c r="AP355" s="214"/>
      <c r="AQ355" s="214"/>
      <c r="AR355" s="214"/>
      <c r="AS355" s="214"/>
      <c r="AT355" s="214"/>
      <c r="AU355" s="214"/>
      <c r="AV355" s="214"/>
      <c r="AW355" s="214"/>
      <c r="AX355" s="214"/>
      <c r="AY355" s="214"/>
      <c r="AZ355" s="214"/>
      <c r="BA355" s="214"/>
      <c r="BB355" s="214"/>
      <c r="BC355" s="214"/>
      <c r="BD355" s="214"/>
      <c r="BE355" s="214"/>
      <c r="BF355" s="214"/>
      <c r="BG355" s="214"/>
      <c r="BH355" s="214"/>
      <c r="BI355" s="214"/>
      <c r="BJ355" s="214"/>
      <c r="BK355" s="214"/>
      <c r="BL355" s="214"/>
      <c r="BM355" s="214"/>
      <c r="BN355" s="214"/>
      <c r="BO355" s="214"/>
      <c r="BP355" s="214"/>
      <c r="BQ355" s="214"/>
      <c r="BR355" s="214"/>
      <c r="BS355" s="214"/>
      <c r="BT355" s="214"/>
      <c r="BU355" s="214"/>
      <c r="BV355" s="214"/>
      <c r="BW355" s="214"/>
      <c r="BX355" s="214"/>
      <c r="BY355" s="214"/>
      <c r="BZ355" s="214"/>
      <c r="CA355" s="214"/>
      <c r="CB355" s="214"/>
      <c r="CC355" s="214"/>
      <c r="CD355" s="214"/>
      <c r="CE355" s="214"/>
      <c r="CF355" s="214"/>
      <c r="CG355" s="214"/>
      <c r="CH355" s="214"/>
      <c r="CI355" s="214"/>
      <c r="CJ355" s="214"/>
      <c r="CK355" s="214"/>
      <c r="CL355" s="214"/>
      <c r="CM355" s="214"/>
      <c r="CN355" s="214"/>
      <c r="CO355" s="214"/>
      <c r="CP355" s="214"/>
      <c r="CQ355" s="214"/>
      <c r="CR355" s="214"/>
      <c r="CS355" s="214"/>
      <c r="CT355" s="214"/>
      <c r="CU355" s="214"/>
      <c r="CV355" s="214"/>
      <c r="CW355" s="214"/>
      <c r="CX355" s="214"/>
      <c r="CY355" s="214"/>
      <c r="CZ355" s="214"/>
      <c r="DA355" s="214"/>
      <c r="DB355" s="214"/>
      <c r="DC355" s="214"/>
      <c r="DD355" s="214"/>
      <c r="DE355" s="214"/>
      <c r="DF355" s="214"/>
      <c r="DG355" s="214"/>
      <c r="DH355" s="214"/>
      <c r="DI355" s="214"/>
      <c r="DJ355" s="214"/>
      <c r="DK355" s="214"/>
      <c r="DL355" s="214"/>
      <c r="DM355" s="214"/>
      <c r="DN355" s="214"/>
      <c r="DO355" s="214"/>
      <c r="DP355" s="214"/>
      <c r="DQ355" s="214"/>
      <c r="DR355" s="214"/>
      <c r="DS355" s="214"/>
      <c r="DT355" s="214"/>
      <c r="DU355" s="214"/>
      <c r="DV355" s="214"/>
      <c r="DW355" s="214"/>
      <c r="DX355" s="214"/>
      <c r="DY355" s="214"/>
      <c r="DZ355" s="214"/>
      <c r="EA355" s="214"/>
      <c r="EB355" s="214"/>
      <c r="EC355" s="214"/>
    </row>
    <row r="356" spans="21:133" s="226" customFormat="1" x14ac:dyDescent="0.15"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  <c r="AK356" s="214"/>
      <c r="AL356" s="214"/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  <c r="BI356" s="214"/>
      <c r="BJ356" s="214"/>
      <c r="BK356" s="214"/>
      <c r="BL356" s="214"/>
      <c r="BM356" s="214"/>
      <c r="BN356" s="214"/>
      <c r="BO356" s="214"/>
      <c r="BP356" s="214"/>
      <c r="BQ356" s="214"/>
      <c r="BR356" s="214"/>
      <c r="BS356" s="214"/>
      <c r="BT356" s="214"/>
      <c r="BU356" s="214"/>
      <c r="BV356" s="214"/>
      <c r="BW356" s="214"/>
      <c r="BX356" s="214"/>
      <c r="BY356" s="214"/>
      <c r="BZ356" s="214"/>
      <c r="CA356" s="214"/>
      <c r="CB356" s="214"/>
      <c r="CC356" s="214"/>
      <c r="CD356" s="214"/>
      <c r="CE356" s="214"/>
      <c r="CF356" s="214"/>
      <c r="CG356" s="214"/>
      <c r="CH356" s="214"/>
      <c r="CI356" s="214"/>
      <c r="CJ356" s="214"/>
      <c r="CK356" s="214"/>
      <c r="CL356" s="214"/>
      <c r="CM356" s="214"/>
      <c r="CN356" s="214"/>
      <c r="CO356" s="214"/>
      <c r="CP356" s="214"/>
      <c r="CQ356" s="214"/>
      <c r="CR356" s="214"/>
      <c r="CS356" s="214"/>
      <c r="CT356" s="214"/>
      <c r="CU356" s="214"/>
      <c r="CV356" s="214"/>
      <c r="CW356" s="214"/>
      <c r="CX356" s="214"/>
      <c r="CY356" s="214"/>
      <c r="CZ356" s="214"/>
      <c r="DA356" s="214"/>
      <c r="DB356" s="214"/>
      <c r="DC356" s="214"/>
      <c r="DD356" s="214"/>
      <c r="DE356" s="214"/>
      <c r="DF356" s="214"/>
      <c r="DG356" s="214"/>
      <c r="DH356" s="214"/>
      <c r="DI356" s="214"/>
      <c r="DJ356" s="214"/>
      <c r="DK356" s="214"/>
      <c r="DL356" s="214"/>
      <c r="DM356" s="214"/>
      <c r="DN356" s="214"/>
      <c r="DO356" s="214"/>
      <c r="DP356" s="214"/>
      <c r="DQ356" s="214"/>
      <c r="DR356" s="214"/>
      <c r="DS356" s="214"/>
      <c r="DT356" s="214"/>
      <c r="DU356" s="214"/>
      <c r="DV356" s="214"/>
      <c r="DW356" s="214"/>
      <c r="DX356" s="214"/>
      <c r="DY356" s="214"/>
      <c r="DZ356" s="214"/>
      <c r="EA356" s="214"/>
      <c r="EB356" s="214"/>
      <c r="EC356" s="214"/>
    </row>
    <row r="357" spans="21:133" s="226" customFormat="1" x14ac:dyDescent="0.15"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  <c r="BI357" s="214"/>
      <c r="BJ357" s="214"/>
      <c r="BK357" s="214"/>
      <c r="BL357" s="214"/>
      <c r="BM357" s="214"/>
      <c r="BN357" s="214"/>
      <c r="BO357" s="214"/>
      <c r="BP357" s="214"/>
      <c r="BQ357" s="214"/>
      <c r="BR357" s="214"/>
      <c r="BS357" s="214"/>
      <c r="BT357" s="214"/>
      <c r="BU357" s="214"/>
      <c r="BV357" s="214"/>
      <c r="BW357" s="214"/>
      <c r="BX357" s="214"/>
      <c r="BY357" s="214"/>
      <c r="BZ357" s="214"/>
      <c r="CA357" s="214"/>
      <c r="CB357" s="214"/>
      <c r="CC357" s="214"/>
      <c r="CD357" s="214"/>
      <c r="CE357" s="214"/>
      <c r="CF357" s="214"/>
      <c r="CG357" s="214"/>
      <c r="CH357" s="214"/>
      <c r="CI357" s="214"/>
      <c r="CJ357" s="214"/>
      <c r="CK357" s="214"/>
      <c r="CL357" s="214"/>
      <c r="CM357" s="214"/>
      <c r="CN357" s="214"/>
      <c r="CO357" s="214"/>
      <c r="CP357" s="214"/>
      <c r="CQ357" s="214"/>
      <c r="CR357" s="214"/>
      <c r="CS357" s="214"/>
      <c r="CT357" s="214"/>
      <c r="CU357" s="214"/>
      <c r="CV357" s="214"/>
      <c r="CW357" s="214"/>
      <c r="CX357" s="214"/>
      <c r="CY357" s="214"/>
      <c r="CZ357" s="214"/>
      <c r="DA357" s="214"/>
      <c r="DB357" s="214"/>
      <c r="DC357" s="214"/>
      <c r="DD357" s="214"/>
      <c r="DE357" s="214"/>
      <c r="DF357" s="214"/>
      <c r="DG357" s="214"/>
      <c r="DH357" s="214"/>
      <c r="DI357" s="214"/>
      <c r="DJ357" s="214"/>
      <c r="DK357" s="214"/>
      <c r="DL357" s="214"/>
      <c r="DM357" s="214"/>
      <c r="DN357" s="214"/>
      <c r="DO357" s="214"/>
      <c r="DP357" s="214"/>
      <c r="DQ357" s="214"/>
      <c r="DR357" s="214"/>
      <c r="DS357" s="214"/>
      <c r="DT357" s="214"/>
      <c r="DU357" s="214"/>
      <c r="DV357" s="214"/>
      <c r="DW357" s="214"/>
      <c r="DX357" s="214"/>
      <c r="DY357" s="214"/>
      <c r="DZ357" s="214"/>
      <c r="EA357" s="214"/>
      <c r="EB357" s="214"/>
      <c r="EC357" s="214"/>
    </row>
    <row r="358" spans="21:133" s="226" customFormat="1" x14ac:dyDescent="0.15"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  <c r="BI358" s="214"/>
      <c r="BJ358" s="214"/>
      <c r="BK358" s="214"/>
      <c r="BL358" s="214"/>
      <c r="BM358" s="214"/>
      <c r="BN358" s="214"/>
      <c r="BO358" s="214"/>
      <c r="BP358" s="214"/>
      <c r="BQ358" s="214"/>
      <c r="BR358" s="214"/>
      <c r="BS358" s="214"/>
      <c r="BT358" s="214"/>
      <c r="BU358" s="214"/>
      <c r="BV358" s="214"/>
      <c r="BW358" s="214"/>
      <c r="BX358" s="214"/>
      <c r="BY358" s="214"/>
      <c r="BZ358" s="214"/>
      <c r="CA358" s="214"/>
      <c r="CB358" s="214"/>
      <c r="CC358" s="214"/>
      <c r="CD358" s="214"/>
      <c r="CE358" s="214"/>
      <c r="CF358" s="214"/>
      <c r="CG358" s="214"/>
      <c r="CH358" s="214"/>
      <c r="CI358" s="214"/>
      <c r="CJ358" s="214"/>
      <c r="CK358" s="214"/>
      <c r="CL358" s="214"/>
      <c r="CM358" s="214"/>
      <c r="CN358" s="214"/>
      <c r="CO358" s="214"/>
      <c r="CP358" s="214"/>
      <c r="CQ358" s="214"/>
      <c r="CR358" s="214"/>
      <c r="CS358" s="214"/>
      <c r="CT358" s="214"/>
      <c r="CU358" s="214"/>
      <c r="CV358" s="214"/>
      <c r="CW358" s="214"/>
      <c r="CX358" s="214"/>
      <c r="CY358" s="214"/>
      <c r="CZ358" s="214"/>
      <c r="DA358" s="214"/>
      <c r="DB358" s="214"/>
      <c r="DC358" s="214"/>
      <c r="DD358" s="214"/>
      <c r="DE358" s="214"/>
      <c r="DF358" s="214"/>
      <c r="DG358" s="214"/>
      <c r="DH358" s="214"/>
      <c r="DI358" s="214"/>
      <c r="DJ358" s="214"/>
      <c r="DK358" s="214"/>
      <c r="DL358" s="214"/>
      <c r="DM358" s="214"/>
      <c r="DN358" s="214"/>
      <c r="DO358" s="214"/>
      <c r="DP358" s="214"/>
      <c r="DQ358" s="214"/>
      <c r="DR358" s="214"/>
      <c r="DS358" s="214"/>
      <c r="DT358" s="214"/>
      <c r="DU358" s="214"/>
      <c r="DV358" s="214"/>
      <c r="DW358" s="214"/>
      <c r="DX358" s="214"/>
      <c r="DY358" s="214"/>
      <c r="DZ358" s="214"/>
      <c r="EA358" s="214"/>
      <c r="EB358" s="214"/>
      <c r="EC358" s="214"/>
    </row>
    <row r="359" spans="21:133" s="226" customFormat="1" x14ac:dyDescent="0.15"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14"/>
      <c r="AE359" s="214"/>
      <c r="AF359" s="214"/>
      <c r="AG359" s="214"/>
      <c r="AH359" s="214"/>
      <c r="AI359" s="214"/>
      <c r="AJ359" s="214"/>
      <c r="AK359" s="214"/>
      <c r="AL359" s="214"/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  <c r="BI359" s="214"/>
      <c r="BJ359" s="214"/>
      <c r="BK359" s="214"/>
      <c r="BL359" s="214"/>
      <c r="BM359" s="214"/>
      <c r="BN359" s="214"/>
      <c r="BO359" s="214"/>
      <c r="BP359" s="214"/>
      <c r="BQ359" s="214"/>
      <c r="BR359" s="214"/>
      <c r="BS359" s="214"/>
      <c r="BT359" s="214"/>
      <c r="BU359" s="214"/>
      <c r="BV359" s="214"/>
      <c r="BW359" s="214"/>
      <c r="BX359" s="214"/>
      <c r="BY359" s="214"/>
      <c r="BZ359" s="214"/>
      <c r="CA359" s="214"/>
      <c r="CB359" s="214"/>
      <c r="CC359" s="214"/>
      <c r="CD359" s="214"/>
      <c r="CE359" s="214"/>
      <c r="CF359" s="214"/>
      <c r="CG359" s="214"/>
      <c r="CH359" s="214"/>
      <c r="CI359" s="214"/>
      <c r="CJ359" s="214"/>
      <c r="CK359" s="214"/>
      <c r="CL359" s="214"/>
      <c r="CM359" s="214"/>
      <c r="CN359" s="214"/>
      <c r="CO359" s="214"/>
      <c r="CP359" s="214"/>
      <c r="CQ359" s="214"/>
      <c r="CR359" s="214"/>
      <c r="CS359" s="214"/>
      <c r="CT359" s="214"/>
      <c r="CU359" s="214"/>
      <c r="CV359" s="214"/>
      <c r="CW359" s="214"/>
      <c r="CX359" s="214"/>
      <c r="CY359" s="214"/>
      <c r="CZ359" s="214"/>
      <c r="DA359" s="214"/>
      <c r="DB359" s="214"/>
      <c r="DC359" s="214"/>
      <c r="DD359" s="214"/>
      <c r="DE359" s="214"/>
      <c r="DF359" s="214"/>
      <c r="DG359" s="214"/>
      <c r="DH359" s="214"/>
      <c r="DI359" s="214"/>
      <c r="DJ359" s="214"/>
      <c r="DK359" s="214"/>
      <c r="DL359" s="214"/>
      <c r="DM359" s="214"/>
      <c r="DN359" s="214"/>
      <c r="DO359" s="214"/>
      <c r="DP359" s="214"/>
      <c r="DQ359" s="214"/>
      <c r="DR359" s="214"/>
      <c r="DS359" s="214"/>
      <c r="DT359" s="214"/>
      <c r="DU359" s="214"/>
      <c r="DV359" s="214"/>
      <c r="DW359" s="214"/>
      <c r="DX359" s="214"/>
      <c r="DY359" s="214"/>
      <c r="DZ359" s="214"/>
      <c r="EA359" s="214"/>
      <c r="EB359" s="214"/>
      <c r="EC359" s="214"/>
    </row>
    <row r="360" spans="21:133" s="226" customFormat="1" x14ac:dyDescent="0.15"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  <c r="CA360" s="214"/>
      <c r="CB360" s="214"/>
      <c r="CC360" s="214"/>
      <c r="CD360" s="214"/>
      <c r="CE360" s="214"/>
      <c r="CF360" s="214"/>
      <c r="CG360" s="214"/>
      <c r="CH360" s="214"/>
      <c r="CI360" s="214"/>
      <c r="CJ360" s="214"/>
      <c r="CK360" s="214"/>
      <c r="CL360" s="214"/>
      <c r="CM360" s="214"/>
      <c r="CN360" s="214"/>
      <c r="CO360" s="214"/>
      <c r="CP360" s="214"/>
      <c r="CQ360" s="214"/>
      <c r="CR360" s="214"/>
      <c r="CS360" s="214"/>
      <c r="CT360" s="214"/>
      <c r="CU360" s="214"/>
      <c r="CV360" s="214"/>
      <c r="CW360" s="214"/>
      <c r="CX360" s="214"/>
      <c r="CY360" s="214"/>
      <c r="CZ360" s="214"/>
      <c r="DA360" s="214"/>
      <c r="DB360" s="214"/>
      <c r="DC360" s="214"/>
      <c r="DD360" s="214"/>
      <c r="DE360" s="214"/>
      <c r="DF360" s="214"/>
      <c r="DG360" s="214"/>
      <c r="DH360" s="214"/>
      <c r="DI360" s="214"/>
      <c r="DJ360" s="214"/>
      <c r="DK360" s="214"/>
      <c r="DL360" s="214"/>
      <c r="DM360" s="214"/>
      <c r="DN360" s="214"/>
      <c r="DO360" s="214"/>
      <c r="DP360" s="214"/>
      <c r="DQ360" s="214"/>
      <c r="DR360" s="214"/>
      <c r="DS360" s="214"/>
      <c r="DT360" s="214"/>
      <c r="DU360" s="214"/>
      <c r="DV360" s="214"/>
      <c r="DW360" s="214"/>
      <c r="DX360" s="214"/>
      <c r="DY360" s="214"/>
      <c r="DZ360" s="214"/>
      <c r="EA360" s="214"/>
      <c r="EB360" s="214"/>
      <c r="EC360" s="214"/>
    </row>
    <row r="361" spans="21:133" s="226" customFormat="1" x14ac:dyDescent="0.15"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14"/>
      <c r="AE361" s="214"/>
      <c r="AF361" s="214"/>
      <c r="AG361" s="214"/>
      <c r="AH361" s="214"/>
      <c r="AI361" s="214"/>
      <c r="AJ361" s="214"/>
      <c r="AK361" s="214"/>
      <c r="AL361" s="214"/>
      <c r="AM361" s="214"/>
      <c r="AN361" s="214"/>
      <c r="AO361" s="214"/>
      <c r="AP361" s="214"/>
      <c r="AQ361" s="214"/>
      <c r="AR361" s="214"/>
      <c r="AS361" s="214"/>
      <c r="AT361" s="214"/>
      <c r="AU361" s="214"/>
      <c r="AV361" s="214"/>
      <c r="AW361" s="214"/>
      <c r="AX361" s="214"/>
      <c r="AY361" s="214"/>
      <c r="AZ361" s="214"/>
      <c r="BA361" s="214"/>
      <c r="BB361" s="214"/>
      <c r="BC361" s="214"/>
      <c r="BD361" s="214"/>
      <c r="BE361" s="214"/>
      <c r="BF361" s="214"/>
      <c r="BG361" s="214"/>
      <c r="BH361" s="214"/>
      <c r="BI361" s="214"/>
      <c r="BJ361" s="214"/>
      <c r="BK361" s="214"/>
      <c r="BL361" s="214"/>
      <c r="BM361" s="214"/>
      <c r="BN361" s="214"/>
      <c r="BO361" s="214"/>
      <c r="BP361" s="214"/>
      <c r="BQ361" s="214"/>
      <c r="BR361" s="214"/>
      <c r="BS361" s="214"/>
      <c r="BT361" s="214"/>
      <c r="BU361" s="214"/>
      <c r="BV361" s="214"/>
      <c r="BW361" s="214"/>
      <c r="BX361" s="214"/>
      <c r="BY361" s="214"/>
      <c r="BZ361" s="214"/>
      <c r="CA361" s="214"/>
      <c r="CB361" s="214"/>
      <c r="CC361" s="214"/>
      <c r="CD361" s="214"/>
      <c r="CE361" s="214"/>
      <c r="CF361" s="214"/>
      <c r="CG361" s="214"/>
      <c r="CH361" s="214"/>
      <c r="CI361" s="214"/>
      <c r="CJ361" s="214"/>
      <c r="CK361" s="214"/>
      <c r="CL361" s="214"/>
      <c r="CM361" s="214"/>
      <c r="CN361" s="214"/>
      <c r="CO361" s="214"/>
      <c r="CP361" s="214"/>
      <c r="CQ361" s="214"/>
      <c r="CR361" s="214"/>
      <c r="CS361" s="214"/>
      <c r="CT361" s="214"/>
      <c r="CU361" s="214"/>
      <c r="CV361" s="214"/>
      <c r="CW361" s="214"/>
      <c r="CX361" s="214"/>
      <c r="CY361" s="214"/>
      <c r="CZ361" s="214"/>
      <c r="DA361" s="214"/>
      <c r="DB361" s="214"/>
      <c r="DC361" s="214"/>
      <c r="DD361" s="214"/>
      <c r="DE361" s="214"/>
      <c r="DF361" s="214"/>
      <c r="DG361" s="214"/>
      <c r="DH361" s="214"/>
      <c r="DI361" s="214"/>
      <c r="DJ361" s="214"/>
      <c r="DK361" s="214"/>
      <c r="DL361" s="214"/>
      <c r="DM361" s="214"/>
      <c r="DN361" s="214"/>
      <c r="DO361" s="214"/>
      <c r="DP361" s="214"/>
      <c r="DQ361" s="214"/>
      <c r="DR361" s="214"/>
      <c r="DS361" s="214"/>
      <c r="DT361" s="214"/>
      <c r="DU361" s="214"/>
      <c r="DV361" s="214"/>
      <c r="DW361" s="214"/>
      <c r="DX361" s="214"/>
      <c r="DY361" s="214"/>
      <c r="DZ361" s="214"/>
      <c r="EA361" s="214"/>
      <c r="EB361" s="214"/>
      <c r="EC361" s="214"/>
    </row>
    <row r="362" spans="21:133" s="226" customFormat="1" x14ac:dyDescent="0.15"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14"/>
      <c r="AE362" s="214"/>
      <c r="AF362" s="214"/>
      <c r="AG362" s="214"/>
      <c r="AH362" s="214"/>
      <c r="AI362" s="214"/>
      <c r="AJ362" s="214"/>
      <c r="AK362" s="214"/>
      <c r="AL362" s="214"/>
      <c r="AM362" s="214"/>
      <c r="AN362" s="214"/>
      <c r="AO362" s="214"/>
      <c r="AP362" s="214"/>
      <c r="AQ362" s="214"/>
      <c r="AR362" s="214"/>
      <c r="AS362" s="214"/>
      <c r="AT362" s="214"/>
      <c r="AU362" s="214"/>
      <c r="AV362" s="214"/>
      <c r="AW362" s="214"/>
      <c r="AX362" s="214"/>
      <c r="AY362" s="214"/>
      <c r="AZ362" s="214"/>
      <c r="BA362" s="214"/>
      <c r="BB362" s="214"/>
      <c r="BC362" s="214"/>
      <c r="BD362" s="214"/>
      <c r="BE362" s="214"/>
      <c r="BF362" s="214"/>
      <c r="BG362" s="214"/>
      <c r="BH362" s="214"/>
      <c r="BI362" s="214"/>
      <c r="BJ362" s="214"/>
      <c r="BK362" s="214"/>
      <c r="BL362" s="214"/>
      <c r="BM362" s="214"/>
      <c r="BN362" s="214"/>
      <c r="BO362" s="214"/>
      <c r="BP362" s="214"/>
      <c r="BQ362" s="214"/>
      <c r="BR362" s="214"/>
      <c r="BS362" s="214"/>
      <c r="BT362" s="214"/>
      <c r="BU362" s="214"/>
      <c r="BV362" s="214"/>
      <c r="BW362" s="214"/>
      <c r="BX362" s="214"/>
      <c r="BY362" s="214"/>
      <c r="BZ362" s="214"/>
      <c r="CA362" s="214"/>
      <c r="CB362" s="214"/>
      <c r="CC362" s="214"/>
      <c r="CD362" s="214"/>
      <c r="CE362" s="214"/>
      <c r="CF362" s="214"/>
      <c r="CG362" s="214"/>
      <c r="CH362" s="214"/>
      <c r="CI362" s="214"/>
      <c r="CJ362" s="214"/>
      <c r="CK362" s="214"/>
      <c r="CL362" s="214"/>
      <c r="CM362" s="214"/>
      <c r="CN362" s="214"/>
      <c r="CO362" s="214"/>
      <c r="CP362" s="214"/>
      <c r="CQ362" s="214"/>
      <c r="CR362" s="214"/>
      <c r="CS362" s="214"/>
      <c r="CT362" s="214"/>
      <c r="CU362" s="214"/>
      <c r="CV362" s="214"/>
      <c r="CW362" s="214"/>
      <c r="CX362" s="214"/>
      <c r="CY362" s="214"/>
      <c r="CZ362" s="214"/>
      <c r="DA362" s="214"/>
      <c r="DB362" s="214"/>
      <c r="DC362" s="214"/>
      <c r="DD362" s="214"/>
      <c r="DE362" s="214"/>
      <c r="DF362" s="214"/>
      <c r="DG362" s="214"/>
      <c r="DH362" s="214"/>
      <c r="DI362" s="214"/>
      <c r="DJ362" s="214"/>
      <c r="DK362" s="214"/>
      <c r="DL362" s="214"/>
      <c r="DM362" s="214"/>
      <c r="DN362" s="214"/>
      <c r="DO362" s="214"/>
      <c r="DP362" s="214"/>
      <c r="DQ362" s="214"/>
      <c r="DR362" s="214"/>
      <c r="DS362" s="214"/>
      <c r="DT362" s="214"/>
      <c r="DU362" s="214"/>
      <c r="DV362" s="214"/>
      <c r="DW362" s="214"/>
      <c r="DX362" s="214"/>
      <c r="DY362" s="214"/>
      <c r="DZ362" s="214"/>
      <c r="EA362" s="214"/>
      <c r="EB362" s="214"/>
      <c r="EC362" s="214"/>
    </row>
    <row r="363" spans="21:133" s="226" customFormat="1" x14ac:dyDescent="0.15"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14"/>
      <c r="AE363" s="214"/>
      <c r="AF363" s="214"/>
      <c r="AG363" s="214"/>
      <c r="AH363" s="214"/>
      <c r="AI363" s="214"/>
      <c r="AJ363" s="214"/>
      <c r="AK363" s="214"/>
      <c r="AL363" s="214"/>
      <c r="AM363" s="214"/>
      <c r="AN363" s="214"/>
      <c r="AO363" s="214"/>
      <c r="AP363" s="214"/>
      <c r="AQ363" s="214"/>
      <c r="AR363" s="214"/>
      <c r="AS363" s="214"/>
      <c r="AT363" s="214"/>
      <c r="AU363" s="214"/>
      <c r="AV363" s="214"/>
      <c r="AW363" s="214"/>
      <c r="AX363" s="214"/>
      <c r="AY363" s="214"/>
      <c r="AZ363" s="214"/>
      <c r="BA363" s="214"/>
      <c r="BB363" s="214"/>
      <c r="BC363" s="214"/>
      <c r="BD363" s="214"/>
      <c r="BE363" s="214"/>
      <c r="BF363" s="214"/>
      <c r="BG363" s="214"/>
      <c r="BH363" s="214"/>
      <c r="BI363" s="214"/>
      <c r="BJ363" s="214"/>
      <c r="BK363" s="214"/>
      <c r="BL363" s="214"/>
      <c r="BM363" s="214"/>
      <c r="BN363" s="214"/>
      <c r="BO363" s="214"/>
      <c r="BP363" s="214"/>
      <c r="BQ363" s="214"/>
      <c r="BR363" s="214"/>
      <c r="BS363" s="214"/>
      <c r="BT363" s="214"/>
      <c r="BU363" s="214"/>
      <c r="BV363" s="214"/>
      <c r="BW363" s="214"/>
      <c r="BX363" s="214"/>
      <c r="BY363" s="214"/>
      <c r="BZ363" s="214"/>
      <c r="CA363" s="214"/>
      <c r="CB363" s="214"/>
      <c r="CC363" s="214"/>
      <c r="CD363" s="214"/>
      <c r="CE363" s="214"/>
      <c r="CF363" s="214"/>
      <c r="CG363" s="214"/>
      <c r="CH363" s="214"/>
      <c r="CI363" s="214"/>
      <c r="CJ363" s="214"/>
      <c r="CK363" s="214"/>
      <c r="CL363" s="214"/>
      <c r="CM363" s="214"/>
      <c r="CN363" s="214"/>
      <c r="CO363" s="214"/>
      <c r="CP363" s="214"/>
      <c r="CQ363" s="214"/>
      <c r="CR363" s="214"/>
      <c r="CS363" s="214"/>
      <c r="CT363" s="214"/>
      <c r="CU363" s="214"/>
      <c r="CV363" s="214"/>
      <c r="CW363" s="214"/>
      <c r="CX363" s="214"/>
      <c r="CY363" s="214"/>
      <c r="CZ363" s="214"/>
      <c r="DA363" s="214"/>
      <c r="DB363" s="214"/>
      <c r="DC363" s="214"/>
      <c r="DD363" s="214"/>
      <c r="DE363" s="214"/>
      <c r="DF363" s="214"/>
      <c r="DG363" s="214"/>
      <c r="DH363" s="214"/>
      <c r="DI363" s="214"/>
      <c r="DJ363" s="214"/>
      <c r="DK363" s="214"/>
      <c r="DL363" s="214"/>
      <c r="DM363" s="214"/>
      <c r="DN363" s="214"/>
      <c r="DO363" s="214"/>
      <c r="DP363" s="214"/>
      <c r="DQ363" s="214"/>
      <c r="DR363" s="214"/>
      <c r="DS363" s="214"/>
      <c r="DT363" s="214"/>
      <c r="DU363" s="214"/>
      <c r="DV363" s="214"/>
      <c r="DW363" s="214"/>
      <c r="DX363" s="214"/>
      <c r="DY363" s="214"/>
      <c r="DZ363" s="214"/>
      <c r="EA363" s="214"/>
      <c r="EB363" s="214"/>
      <c r="EC363" s="214"/>
    </row>
    <row r="364" spans="21:133" s="226" customFormat="1" x14ac:dyDescent="0.15"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14"/>
      <c r="AE364" s="214"/>
      <c r="AF364" s="214"/>
      <c r="AG364" s="214"/>
      <c r="AH364" s="214"/>
      <c r="AI364" s="214"/>
      <c r="AJ364" s="214"/>
      <c r="AK364" s="214"/>
      <c r="AL364" s="214"/>
      <c r="AM364" s="214"/>
      <c r="AN364" s="214"/>
      <c r="AO364" s="214"/>
      <c r="AP364" s="214"/>
      <c r="AQ364" s="214"/>
      <c r="AR364" s="214"/>
      <c r="AS364" s="214"/>
      <c r="AT364" s="214"/>
      <c r="AU364" s="214"/>
      <c r="AV364" s="214"/>
      <c r="AW364" s="214"/>
      <c r="AX364" s="214"/>
      <c r="AY364" s="214"/>
      <c r="AZ364" s="214"/>
      <c r="BA364" s="214"/>
      <c r="BB364" s="214"/>
      <c r="BC364" s="214"/>
      <c r="BD364" s="214"/>
      <c r="BE364" s="214"/>
      <c r="BF364" s="214"/>
      <c r="BG364" s="214"/>
      <c r="BH364" s="214"/>
      <c r="BI364" s="214"/>
      <c r="BJ364" s="214"/>
      <c r="BK364" s="214"/>
      <c r="BL364" s="214"/>
      <c r="BM364" s="214"/>
      <c r="BN364" s="214"/>
      <c r="BO364" s="214"/>
      <c r="BP364" s="214"/>
      <c r="BQ364" s="214"/>
      <c r="BR364" s="214"/>
      <c r="BS364" s="214"/>
      <c r="BT364" s="214"/>
      <c r="BU364" s="214"/>
      <c r="BV364" s="214"/>
      <c r="BW364" s="214"/>
      <c r="BX364" s="214"/>
      <c r="BY364" s="214"/>
      <c r="BZ364" s="214"/>
      <c r="CA364" s="214"/>
      <c r="CB364" s="214"/>
      <c r="CC364" s="214"/>
      <c r="CD364" s="214"/>
      <c r="CE364" s="214"/>
      <c r="CF364" s="214"/>
      <c r="CG364" s="214"/>
      <c r="CH364" s="214"/>
      <c r="CI364" s="214"/>
      <c r="CJ364" s="214"/>
      <c r="CK364" s="214"/>
      <c r="CL364" s="214"/>
      <c r="CM364" s="214"/>
      <c r="CN364" s="214"/>
      <c r="CO364" s="214"/>
      <c r="CP364" s="214"/>
      <c r="CQ364" s="214"/>
      <c r="CR364" s="214"/>
      <c r="CS364" s="214"/>
      <c r="CT364" s="214"/>
      <c r="CU364" s="214"/>
      <c r="CV364" s="214"/>
      <c r="CW364" s="214"/>
      <c r="CX364" s="214"/>
      <c r="CY364" s="214"/>
      <c r="CZ364" s="214"/>
      <c r="DA364" s="214"/>
      <c r="DB364" s="214"/>
      <c r="DC364" s="214"/>
      <c r="DD364" s="214"/>
      <c r="DE364" s="214"/>
      <c r="DF364" s="214"/>
      <c r="DG364" s="214"/>
      <c r="DH364" s="214"/>
      <c r="DI364" s="214"/>
      <c r="DJ364" s="214"/>
      <c r="DK364" s="214"/>
      <c r="DL364" s="214"/>
      <c r="DM364" s="214"/>
      <c r="DN364" s="214"/>
      <c r="DO364" s="214"/>
      <c r="DP364" s="214"/>
      <c r="DQ364" s="214"/>
      <c r="DR364" s="214"/>
      <c r="DS364" s="214"/>
      <c r="DT364" s="214"/>
      <c r="DU364" s="214"/>
      <c r="DV364" s="214"/>
      <c r="DW364" s="214"/>
      <c r="DX364" s="214"/>
      <c r="DY364" s="214"/>
      <c r="DZ364" s="214"/>
      <c r="EA364" s="214"/>
      <c r="EB364" s="214"/>
      <c r="EC364" s="214"/>
    </row>
    <row r="365" spans="21:133" s="226" customFormat="1" x14ac:dyDescent="0.15"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14"/>
      <c r="AE365" s="214"/>
      <c r="AF365" s="214"/>
      <c r="AG365" s="214"/>
      <c r="AH365" s="214"/>
      <c r="AI365" s="214"/>
      <c r="AJ365" s="214"/>
      <c r="AK365" s="214"/>
      <c r="AL365" s="214"/>
      <c r="AM365" s="214"/>
      <c r="AN365" s="214"/>
      <c r="AO365" s="214"/>
      <c r="AP365" s="214"/>
      <c r="AQ365" s="214"/>
      <c r="AR365" s="214"/>
      <c r="AS365" s="214"/>
      <c r="AT365" s="214"/>
      <c r="AU365" s="214"/>
      <c r="AV365" s="214"/>
      <c r="AW365" s="214"/>
      <c r="AX365" s="214"/>
      <c r="AY365" s="214"/>
      <c r="AZ365" s="214"/>
      <c r="BA365" s="214"/>
      <c r="BB365" s="214"/>
      <c r="BC365" s="214"/>
      <c r="BD365" s="214"/>
      <c r="BE365" s="214"/>
      <c r="BF365" s="214"/>
      <c r="BG365" s="214"/>
      <c r="BH365" s="214"/>
      <c r="BI365" s="214"/>
      <c r="BJ365" s="214"/>
      <c r="BK365" s="214"/>
      <c r="BL365" s="214"/>
      <c r="BM365" s="214"/>
      <c r="BN365" s="214"/>
      <c r="BO365" s="214"/>
      <c r="BP365" s="214"/>
      <c r="BQ365" s="214"/>
      <c r="BR365" s="214"/>
      <c r="BS365" s="214"/>
      <c r="BT365" s="214"/>
      <c r="BU365" s="214"/>
      <c r="BV365" s="214"/>
      <c r="BW365" s="214"/>
      <c r="BX365" s="214"/>
      <c r="BY365" s="214"/>
      <c r="BZ365" s="214"/>
      <c r="CA365" s="214"/>
      <c r="CB365" s="214"/>
      <c r="CC365" s="214"/>
      <c r="CD365" s="214"/>
      <c r="CE365" s="214"/>
      <c r="CF365" s="214"/>
      <c r="CG365" s="214"/>
      <c r="CH365" s="214"/>
      <c r="CI365" s="214"/>
      <c r="CJ365" s="214"/>
      <c r="CK365" s="214"/>
      <c r="CL365" s="214"/>
      <c r="CM365" s="214"/>
      <c r="CN365" s="214"/>
      <c r="CO365" s="214"/>
      <c r="CP365" s="214"/>
      <c r="CQ365" s="214"/>
      <c r="CR365" s="214"/>
      <c r="CS365" s="214"/>
      <c r="CT365" s="214"/>
      <c r="CU365" s="214"/>
      <c r="CV365" s="214"/>
      <c r="CW365" s="214"/>
      <c r="CX365" s="214"/>
      <c r="CY365" s="214"/>
      <c r="CZ365" s="214"/>
      <c r="DA365" s="214"/>
      <c r="DB365" s="214"/>
      <c r="DC365" s="214"/>
      <c r="DD365" s="214"/>
      <c r="DE365" s="214"/>
      <c r="DF365" s="214"/>
      <c r="DG365" s="214"/>
      <c r="DH365" s="214"/>
      <c r="DI365" s="214"/>
      <c r="DJ365" s="214"/>
      <c r="DK365" s="214"/>
      <c r="DL365" s="214"/>
      <c r="DM365" s="214"/>
      <c r="DN365" s="214"/>
      <c r="DO365" s="214"/>
      <c r="DP365" s="214"/>
      <c r="DQ365" s="214"/>
      <c r="DR365" s="214"/>
      <c r="DS365" s="214"/>
      <c r="DT365" s="214"/>
      <c r="DU365" s="214"/>
      <c r="DV365" s="214"/>
      <c r="DW365" s="214"/>
      <c r="DX365" s="214"/>
      <c r="DY365" s="214"/>
      <c r="DZ365" s="214"/>
      <c r="EA365" s="214"/>
      <c r="EB365" s="214"/>
      <c r="EC365" s="214"/>
    </row>
    <row r="366" spans="21:133" s="226" customFormat="1" x14ac:dyDescent="0.15">
      <c r="U366" s="214"/>
      <c r="V366" s="214"/>
      <c r="W366" s="214"/>
      <c r="X366" s="214"/>
      <c r="Y366" s="214"/>
      <c r="Z366" s="214"/>
      <c r="AA366" s="214"/>
      <c r="AB366" s="214"/>
      <c r="AC366" s="214"/>
      <c r="AD366" s="214"/>
      <c r="AE366" s="214"/>
      <c r="AF366" s="214"/>
      <c r="AG366" s="214"/>
      <c r="AH366" s="214"/>
      <c r="AI366" s="214"/>
      <c r="AJ366" s="214"/>
      <c r="AK366" s="214"/>
      <c r="AL366" s="214"/>
      <c r="AM366" s="214"/>
      <c r="AN366" s="214"/>
      <c r="AO366" s="214"/>
      <c r="AP366" s="214"/>
      <c r="AQ366" s="214"/>
      <c r="AR366" s="214"/>
      <c r="AS366" s="214"/>
      <c r="AT366" s="214"/>
      <c r="AU366" s="214"/>
      <c r="AV366" s="214"/>
      <c r="AW366" s="214"/>
      <c r="AX366" s="214"/>
      <c r="AY366" s="214"/>
      <c r="AZ366" s="214"/>
      <c r="BA366" s="214"/>
      <c r="BB366" s="214"/>
      <c r="BC366" s="214"/>
      <c r="BD366" s="214"/>
      <c r="BE366" s="214"/>
      <c r="BF366" s="214"/>
      <c r="BG366" s="214"/>
      <c r="BH366" s="214"/>
      <c r="BI366" s="214"/>
      <c r="BJ366" s="214"/>
      <c r="BK366" s="214"/>
      <c r="BL366" s="214"/>
      <c r="BM366" s="214"/>
      <c r="BN366" s="214"/>
      <c r="BO366" s="214"/>
      <c r="BP366" s="214"/>
      <c r="BQ366" s="214"/>
      <c r="BR366" s="214"/>
      <c r="BS366" s="214"/>
      <c r="BT366" s="214"/>
      <c r="BU366" s="214"/>
      <c r="BV366" s="214"/>
      <c r="BW366" s="214"/>
      <c r="BX366" s="214"/>
      <c r="BY366" s="214"/>
      <c r="BZ366" s="214"/>
      <c r="CA366" s="214"/>
      <c r="CB366" s="214"/>
      <c r="CC366" s="214"/>
      <c r="CD366" s="214"/>
      <c r="CE366" s="214"/>
      <c r="CF366" s="214"/>
      <c r="CG366" s="214"/>
      <c r="CH366" s="214"/>
      <c r="CI366" s="214"/>
      <c r="CJ366" s="214"/>
      <c r="CK366" s="214"/>
      <c r="CL366" s="214"/>
      <c r="CM366" s="214"/>
      <c r="CN366" s="214"/>
      <c r="CO366" s="214"/>
      <c r="CP366" s="214"/>
      <c r="CQ366" s="214"/>
      <c r="CR366" s="214"/>
      <c r="CS366" s="214"/>
      <c r="CT366" s="214"/>
      <c r="CU366" s="214"/>
      <c r="CV366" s="214"/>
      <c r="CW366" s="214"/>
      <c r="CX366" s="214"/>
      <c r="CY366" s="214"/>
      <c r="CZ366" s="214"/>
      <c r="DA366" s="214"/>
      <c r="DB366" s="214"/>
      <c r="DC366" s="214"/>
      <c r="DD366" s="214"/>
      <c r="DE366" s="214"/>
      <c r="DF366" s="214"/>
      <c r="DG366" s="214"/>
      <c r="DH366" s="214"/>
      <c r="DI366" s="214"/>
      <c r="DJ366" s="214"/>
      <c r="DK366" s="214"/>
      <c r="DL366" s="214"/>
      <c r="DM366" s="214"/>
      <c r="DN366" s="214"/>
      <c r="DO366" s="214"/>
      <c r="DP366" s="214"/>
      <c r="DQ366" s="214"/>
      <c r="DR366" s="214"/>
      <c r="DS366" s="214"/>
      <c r="DT366" s="214"/>
      <c r="DU366" s="214"/>
      <c r="DV366" s="214"/>
      <c r="DW366" s="214"/>
      <c r="DX366" s="214"/>
      <c r="DY366" s="214"/>
      <c r="DZ366" s="214"/>
      <c r="EA366" s="214"/>
      <c r="EB366" s="214"/>
      <c r="EC366" s="214"/>
    </row>
    <row r="367" spans="21:133" s="226" customFormat="1" x14ac:dyDescent="0.15">
      <c r="U367" s="214"/>
      <c r="V367" s="214"/>
      <c r="W367" s="214"/>
      <c r="X367" s="214"/>
      <c r="Y367" s="214"/>
      <c r="Z367" s="214"/>
      <c r="AA367" s="214"/>
      <c r="AB367" s="214"/>
      <c r="AC367" s="214"/>
      <c r="AD367" s="214"/>
      <c r="AE367" s="214"/>
      <c r="AF367" s="214"/>
      <c r="AG367" s="214"/>
      <c r="AH367" s="214"/>
      <c r="AI367" s="214"/>
      <c r="AJ367" s="214"/>
      <c r="AK367" s="214"/>
      <c r="AL367" s="214"/>
      <c r="AM367" s="214"/>
      <c r="AN367" s="214"/>
      <c r="AO367" s="214"/>
      <c r="AP367" s="214"/>
      <c r="AQ367" s="214"/>
      <c r="AR367" s="214"/>
      <c r="AS367" s="214"/>
      <c r="AT367" s="214"/>
      <c r="AU367" s="214"/>
      <c r="AV367" s="214"/>
      <c r="AW367" s="214"/>
      <c r="AX367" s="214"/>
      <c r="AY367" s="214"/>
      <c r="AZ367" s="214"/>
      <c r="BA367" s="214"/>
      <c r="BB367" s="214"/>
      <c r="BC367" s="214"/>
      <c r="BD367" s="214"/>
      <c r="BE367" s="214"/>
      <c r="BF367" s="214"/>
      <c r="BG367" s="214"/>
      <c r="BH367" s="214"/>
      <c r="BI367" s="214"/>
      <c r="BJ367" s="214"/>
      <c r="BK367" s="214"/>
      <c r="BL367" s="214"/>
      <c r="BM367" s="214"/>
      <c r="BN367" s="214"/>
      <c r="BO367" s="214"/>
      <c r="BP367" s="214"/>
      <c r="BQ367" s="214"/>
      <c r="BR367" s="214"/>
      <c r="BS367" s="214"/>
      <c r="BT367" s="214"/>
      <c r="BU367" s="214"/>
      <c r="BV367" s="214"/>
      <c r="BW367" s="214"/>
      <c r="BX367" s="214"/>
      <c r="BY367" s="214"/>
      <c r="BZ367" s="214"/>
      <c r="CA367" s="214"/>
      <c r="CB367" s="214"/>
      <c r="CC367" s="214"/>
      <c r="CD367" s="214"/>
      <c r="CE367" s="214"/>
      <c r="CF367" s="214"/>
      <c r="CG367" s="214"/>
      <c r="CH367" s="214"/>
      <c r="CI367" s="214"/>
      <c r="CJ367" s="214"/>
      <c r="CK367" s="214"/>
      <c r="CL367" s="214"/>
      <c r="CM367" s="214"/>
      <c r="CN367" s="214"/>
      <c r="CO367" s="214"/>
      <c r="CP367" s="214"/>
      <c r="CQ367" s="214"/>
      <c r="CR367" s="214"/>
      <c r="CS367" s="214"/>
      <c r="CT367" s="214"/>
      <c r="CU367" s="214"/>
      <c r="CV367" s="214"/>
      <c r="CW367" s="214"/>
      <c r="CX367" s="214"/>
      <c r="CY367" s="214"/>
      <c r="CZ367" s="214"/>
      <c r="DA367" s="214"/>
      <c r="DB367" s="214"/>
      <c r="DC367" s="214"/>
      <c r="DD367" s="214"/>
      <c r="DE367" s="214"/>
      <c r="DF367" s="214"/>
      <c r="DG367" s="214"/>
      <c r="DH367" s="214"/>
      <c r="DI367" s="214"/>
      <c r="DJ367" s="214"/>
      <c r="DK367" s="214"/>
      <c r="DL367" s="214"/>
      <c r="DM367" s="214"/>
      <c r="DN367" s="214"/>
      <c r="DO367" s="214"/>
      <c r="DP367" s="214"/>
      <c r="DQ367" s="214"/>
      <c r="DR367" s="214"/>
      <c r="DS367" s="214"/>
      <c r="DT367" s="214"/>
      <c r="DU367" s="214"/>
      <c r="DV367" s="214"/>
      <c r="DW367" s="214"/>
      <c r="DX367" s="214"/>
      <c r="DY367" s="214"/>
      <c r="DZ367" s="214"/>
      <c r="EA367" s="214"/>
      <c r="EB367" s="214"/>
      <c r="EC367" s="214"/>
    </row>
    <row r="368" spans="21:133" s="226" customFormat="1" x14ac:dyDescent="0.15"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14"/>
      <c r="AE368" s="214"/>
      <c r="AF368" s="214"/>
      <c r="AG368" s="214"/>
      <c r="AH368" s="214"/>
      <c r="AI368" s="214"/>
      <c r="AJ368" s="214"/>
      <c r="AK368" s="214"/>
      <c r="AL368" s="214"/>
      <c r="AM368" s="214"/>
      <c r="AN368" s="214"/>
      <c r="AO368" s="214"/>
      <c r="AP368" s="214"/>
      <c r="AQ368" s="214"/>
      <c r="AR368" s="214"/>
      <c r="AS368" s="214"/>
      <c r="AT368" s="214"/>
      <c r="AU368" s="214"/>
      <c r="AV368" s="214"/>
      <c r="AW368" s="214"/>
      <c r="AX368" s="214"/>
      <c r="AY368" s="214"/>
      <c r="AZ368" s="214"/>
      <c r="BA368" s="214"/>
      <c r="BB368" s="214"/>
      <c r="BC368" s="214"/>
      <c r="BD368" s="214"/>
      <c r="BE368" s="214"/>
      <c r="BF368" s="214"/>
      <c r="BG368" s="214"/>
      <c r="BH368" s="214"/>
      <c r="BI368" s="214"/>
      <c r="BJ368" s="214"/>
      <c r="BK368" s="214"/>
      <c r="BL368" s="214"/>
      <c r="BM368" s="214"/>
      <c r="BN368" s="214"/>
      <c r="BO368" s="214"/>
      <c r="BP368" s="214"/>
      <c r="BQ368" s="214"/>
      <c r="BR368" s="214"/>
      <c r="BS368" s="214"/>
      <c r="BT368" s="214"/>
      <c r="BU368" s="214"/>
      <c r="BV368" s="214"/>
      <c r="BW368" s="214"/>
      <c r="BX368" s="214"/>
      <c r="BY368" s="214"/>
      <c r="BZ368" s="214"/>
      <c r="CA368" s="214"/>
      <c r="CB368" s="214"/>
      <c r="CC368" s="214"/>
      <c r="CD368" s="214"/>
      <c r="CE368" s="214"/>
      <c r="CF368" s="214"/>
      <c r="CG368" s="214"/>
      <c r="CH368" s="214"/>
      <c r="CI368" s="214"/>
      <c r="CJ368" s="214"/>
      <c r="CK368" s="214"/>
      <c r="CL368" s="214"/>
      <c r="CM368" s="214"/>
      <c r="CN368" s="214"/>
      <c r="CO368" s="214"/>
      <c r="CP368" s="214"/>
      <c r="CQ368" s="214"/>
      <c r="CR368" s="214"/>
      <c r="CS368" s="214"/>
      <c r="CT368" s="214"/>
      <c r="CU368" s="214"/>
      <c r="CV368" s="214"/>
      <c r="CW368" s="214"/>
      <c r="CX368" s="214"/>
      <c r="CY368" s="214"/>
      <c r="CZ368" s="214"/>
      <c r="DA368" s="214"/>
      <c r="DB368" s="214"/>
      <c r="DC368" s="214"/>
      <c r="DD368" s="214"/>
      <c r="DE368" s="214"/>
      <c r="DF368" s="214"/>
      <c r="DG368" s="214"/>
      <c r="DH368" s="214"/>
      <c r="DI368" s="214"/>
      <c r="DJ368" s="214"/>
      <c r="DK368" s="214"/>
      <c r="DL368" s="214"/>
      <c r="DM368" s="214"/>
      <c r="DN368" s="214"/>
      <c r="DO368" s="214"/>
      <c r="DP368" s="214"/>
      <c r="DQ368" s="214"/>
      <c r="DR368" s="214"/>
      <c r="DS368" s="214"/>
      <c r="DT368" s="214"/>
      <c r="DU368" s="214"/>
      <c r="DV368" s="214"/>
      <c r="DW368" s="214"/>
      <c r="DX368" s="214"/>
      <c r="DY368" s="214"/>
      <c r="DZ368" s="214"/>
      <c r="EA368" s="214"/>
      <c r="EB368" s="214"/>
      <c r="EC368" s="214"/>
    </row>
    <row r="369" spans="21:133" s="226" customFormat="1" x14ac:dyDescent="0.15">
      <c r="U369" s="214"/>
      <c r="V369" s="214"/>
      <c r="W369" s="214"/>
      <c r="X369" s="214"/>
      <c r="Y369" s="214"/>
      <c r="Z369" s="214"/>
      <c r="AA369" s="214"/>
      <c r="AB369" s="214"/>
      <c r="AC369" s="214"/>
      <c r="AD369" s="214"/>
      <c r="AE369" s="214"/>
      <c r="AF369" s="214"/>
      <c r="AG369" s="214"/>
      <c r="AH369" s="214"/>
      <c r="AI369" s="214"/>
      <c r="AJ369" s="214"/>
      <c r="AK369" s="214"/>
      <c r="AL369" s="214"/>
      <c r="AM369" s="214"/>
      <c r="AN369" s="214"/>
      <c r="AO369" s="214"/>
      <c r="AP369" s="214"/>
      <c r="AQ369" s="214"/>
      <c r="AR369" s="214"/>
      <c r="AS369" s="214"/>
      <c r="AT369" s="214"/>
      <c r="AU369" s="214"/>
      <c r="AV369" s="214"/>
      <c r="AW369" s="214"/>
      <c r="AX369" s="214"/>
      <c r="AY369" s="214"/>
      <c r="AZ369" s="214"/>
      <c r="BA369" s="214"/>
      <c r="BB369" s="214"/>
      <c r="BC369" s="214"/>
      <c r="BD369" s="214"/>
      <c r="BE369" s="214"/>
      <c r="BF369" s="214"/>
      <c r="BG369" s="214"/>
      <c r="BH369" s="214"/>
      <c r="BI369" s="214"/>
      <c r="BJ369" s="214"/>
      <c r="BK369" s="214"/>
      <c r="BL369" s="214"/>
      <c r="BM369" s="214"/>
      <c r="BN369" s="214"/>
      <c r="BO369" s="214"/>
      <c r="BP369" s="214"/>
      <c r="BQ369" s="214"/>
      <c r="BR369" s="214"/>
      <c r="BS369" s="214"/>
      <c r="BT369" s="214"/>
      <c r="BU369" s="214"/>
      <c r="BV369" s="214"/>
      <c r="BW369" s="214"/>
      <c r="BX369" s="214"/>
      <c r="BY369" s="214"/>
      <c r="BZ369" s="214"/>
      <c r="CA369" s="214"/>
      <c r="CB369" s="214"/>
      <c r="CC369" s="214"/>
      <c r="CD369" s="214"/>
      <c r="CE369" s="214"/>
      <c r="CF369" s="214"/>
      <c r="CG369" s="214"/>
      <c r="CH369" s="214"/>
      <c r="CI369" s="214"/>
      <c r="CJ369" s="214"/>
      <c r="CK369" s="214"/>
      <c r="CL369" s="214"/>
      <c r="CM369" s="214"/>
      <c r="CN369" s="214"/>
      <c r="CO369" s="214"/>
      <c r="CP369" s="214"/>
      <c r="CQ369" s="214"/>
      <c r="CR369" s="214"/>
      <c r="CS369" s="214"/>
      <c r="CT369" s="214"/>
      <c r="CU369" s="214"/>
      <c r="CV369" s="214"/>
      <c r="CW369" s="214"/>
      <c r="CX369" s="214"/>
      <c r="CY369" s="214"/>
      <c r="CZ369" s="214"/>
      <c r="DA369" s="214"/>
      <c r="DB369" s="214"/>
      <c r="DC369" s="214"/>
      <c r="DD369" s="214"/>
      <c r="DE369" s="214"/>
      <c r="DF369" s="214"/>
      <c r="DG369" s="214"/>
      <c r="DH369" s="214"/>
      <c r="DI369" s="214"/>
      <c r="DJ369" s="214"/>
      <c r="DK369" s="214"/>
      <c r="DL369" s="214"/>
      <c r="DM369" s="214"/>
      <c r="DN369" s="214"/>
      <c r="DO369" s="214"/>
      <c r="DP369" s="214"/>
      <c r="DQ369" s="214"/>
      <c r="DR369" s="214"/>
      <c r="DS369" s="214"/>
      <c r="DT369" s="214"/>
      <c r="DU369" s="214"/>
      <c r="DV369" s="214"/>
      <c r="DW369" s="214"/>
      <c r="DX369" s="214"/>
      <c r="DY369" s="214"/>
      <c r="DZ369" s="214"/>
      <c r="EA369" s="214"/>
      <c r="EB369" s="214"/>
      <c r="EC369" s="214"/>
    </row>
    <row r="370" spans="21:133" s="226" customFormat="1" x14ac:dyDescent="0.15"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  <c r="BI370" s="214"/>
      <c r="BJ370" s="214"/>
      <c r="BK370" s="214"/>
      <c r="BL370" s="214"/>
      <c r="BM370" s="214"/>
      <c r="BN370" s="214"/>
      <c r="BO370" s="214"/>
      <c r="BP370" s="214"/>
      <c r="BQ370" s="214"/>
      <c r="BR370" s="214"/>
      <c r="BS370" s="214"/>
      <c r="BT370" s="214"/>
      <c r="BU370" s="214"/>
      <c r="BV370" s="214"/>
      <c r="BW370" s="214"/>
      <c r="BX370" s="214"/>
      <c r="BY370" s="214"/>
      <c r="BZ370" s="214"/>
      <c r="CA370" s="214"/>
      <c r="CB370" s="214"/>
      <c r="CC370" s="214"/>
      <c r="CD370" s="214"/>
      <c r="CE370" s="214"/>
      <c r="CF370" s="214"/>
      <c r="CG370" s="214"/>
      <c r="CH370" s="214"/>
      <c r="CI370" s="214"/>
      <c r="CJ370" s="214"/>
      <c r="CK370" s="214"/>
      <c r="CL370" s="214"/>
      <c r="CM370" s="214"/>
      <c r="CN370" s="214"/>
      <c r="CO370" s="214"/>
      <c r="CP370" s="214"/>
      <c r="CQ370" s="214"/>
      <c r="CR370" s="214"/>
      <c r="CS370" s="214"/>
      <c r="CT370" s="214"/>
      <c r="CU370" s="214"/>
      <c r="CV370" s="214"/>
      <c r="CW370" s="214"/>
      <c r="CX370" s="214"/>
      <c r="CY370" s="214"/>
      <c r="CZ370" s="214"/>
      <c r="DA370" s="214"/>
      <c r="DB370" s="214"/>
      <c r="DC370" s="214"/>
      <c r="DD370" s="214"/>
      <c r="DE370" s="214"/>
      <c r="DF370" s="214"/>
      <c r="DG370" s="214"/>
      <c r="DH370" s="214"/>
      <c r="DI370" s="214"/>
      <c r="DJ370" s="214"/>
      <c r="DK370" s="214"/>
      <c r="DL370" s="214"/>
      <c r="DM370" s="214"/>
      <c r="DN370" s="214"/>
      <c r="DO370" s="214"/>
      <c r="DP370" s="214"/>
      <c r="DQ370" s="214"/>
      <c r="DR370" s="214"/>
      <c r="DS370" s="214"/>
      <c r="DT370" s="214"/>
      <c r="DU370" s="214"/>
      <c r="DV370" s="214"/>
      <c r="DW370" s="214"/>
      <c r="DX370" s="214"/>
      <c r="DY370" s="214"/>
      <c r="DZ370" s="214"/>
      <c r="EA370" s="214"/>
      <c r="EB370" s="214"/>
      <c r="EC370" s="214"/>
    </row>
    <row r="371" spans="21:133" s="226" customFormat="1" x14ac:dyDescent="0.15"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  <c r="BM371" s="214"/>
      <c r="BN371" s="214"/>
      <c r="BO371" s="214"/>
      <c r="BP371" s="214"/>
      <c r="BQ371" s="214"/>
      <c r="BR371" s="214"/>
      <c r="BS371" s="214"/>
      <c r="BT371" s="214"/>
      <c r="BU371" s="214"/>
      <c r="BV371" s="214"/>
      <c r="BW371" s="214"/>
      <c r="BX371" s="214"/>
      <c r="BY371" s="214"/>
      <c r="BZ371" s="214"/>
      <c r="CA371" s="214"/>
      <c r="CB371" s="214"/>
      <c r="CC371" s="214"/>
      <c r="CD371" s="214"/>
      <c r="CE371" s="214"/>
      <c r="CF371" s="214"/>
      <c r="CG371" s="214"/>
      <c r="CH371" s="214"/>
      <c r="CI371" s="214"/>
      <c r="CJ371" s="214"/>
      <c r="CK371" s="214"/>
      <c r="CL371" s="214"/>
      <c r="CM371" s="214"/>
      <c r="CN371" s="214"/>
      <c r="CO371" s="214"/>
      <c r="CP371" s="214"/>
      <c r="CQ371" s="214"/>
      <c r="CR371" s="214"/>
      <c r="CS371" s="214"/>
      <c r="CT371" s="214"/>
      <c r="CU371" s="214"/>
      <c r="CV371" s="214"/>
      <c r="CW371" s="214"/>
      <c r="CX371" s="214"/>
      <c r="CY371" s="214"/>
      <c r="CZ371" s="214"/>
      <c r="DA371" s="214"/>
      <c r="DB371" s="214"/>
      <c r="DC371" s="214"/>
      <c r="DD371" s="214"/>
      <c r="DE371" s="214"/>
      <c r="DF371" s="214"/>
      <c r="DG371" s="214"/>
      <c r="DH371" s="214"/>
      <c r="DI371" s="214"/>
      <c r="DJ371" s="214"/>
      <c r="DK371" s="214"/>
      <c r="DL371" s="214"/>
      <c r="DM371" s="214"/>
      <c r="DN371" s="214"/>
      <c r="DO371" s="214"/>
      <c r="DP371" s="214"/>
      <c r="DQ371" s="214"/>
      <c r="DR371" s="214"/>
      <c r="DS371" s="214"/>
      <c r="DT371" s="214"/>
      <c r="DU371" s="214"/>
      <c r="DV371" s="214"/>
      <c r="DW371" s="214"/>
      <c r="DX371" s="214"/>
      <c r="DY371" s="214"/>
      <c r="DZ371" s="214"/>
      <c r="EA371" s="214"/>
      <c r="EB371" s="214"/>
      <c r="EC371" s="214"/>
    </row>
    <row r="372" spans="21:133" s="226" customFormat="1" x14ac:dyDescent="0.15"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  <c r="BM372" s="214"/>
      <c r="BN372" s="214"/>
      <c r="BO372" s="214"/>
      <c r="BP372" s="214"/>
      <c r="BQ372" s="214"/>
      <c r="BR372" s="214"/>
      <c r="BS372" s="214"/>
      <c r="BT372" s="214"/>
      <c r="BU372" s="214"/>
      <c r="BV372" s="214"/>
      <c r="BW372" s="214"/>
      <c r="BX372" s="214"/>
      <c r="BY372" s="214"/>
      <c r="BZ372" s="214"/>
      <c r="CA372" s="214"/>
      <c r="CB372" s="214"/>
      <c r="CC372" s="214"/>
      <c r="CD372" s="214"/>
      <c r="CE372" s="214"/>
      <c r="CF372" s="214"/>
      <c r="CG372" s="214"/>
      <c r="CH372" s="214"/>
      <c r="CI372" s="214"/>
      <c r="CJ372" s="214"/>
      <c r="CK372" s="214"/>
      <c r="CL372" s="214"/>
      <c r="CM372" s="214"/>
      <c r="CN372" s="214"/>
      <c r="CO372" s="214"/>
      <c r="CP372" s="214"/>
      <c r="CQ372" s="214"/>
      <c r="CR372" s="214"/>
      <c r="CS372" s="214"/>
      <c r="CT372" s="214"/>
      <c r="CU372" s="214"/>
      <c r="CV372" s="214"/>
      <c r="CW372" s="214"/>
      <c r="CX372" s="214"/>
      <c r="CY372" s="214"/>
      <c r="CZ372" s="214"/>
      <c r="DA372" s="214"/>
      <c r="DB372" s="214"/>
      <c r="DC372" s="214"/>
      <c r="DD372" s="214"/>
      <c r="DE372" s="214"/>
      <c r="DF372" s="214"/>
      <c r="DG372" s="214"/>
      <c r="DH372" s="214"/>
      <c r="DI372" s="214"/>
      <c r="DJ372" s="214"/>
      <c r="DK372" s="214"/>
      <c r="DL372" s="214"/>
      <c r="DM372" s="214"/>
      <c r="DN372" s="214"/>
      <c r="DO372" s="214"/>
      <c r="DP372" s="214"/>
      <c r="DQ372" s="214"/>
      <c r="DR372" s="214"/>
      <c r="DS372" s="214"/>
      <c r="DT372" s="214"/>
      <c r="DU372" s="214"/>
      <c r="DV372" s="214"/>
      <c r="DW372" s="214"/>
      <c r="DX372" s="214"/>
      <c r="DY372" s="214"/>
      <c r="DZ372" s="214"/>
      <c r="EA372" s="214"/>
      <c r="EB372" s="214"/>
      <c r="EC372" s="214"/>
    </row>
    <row r="373" spans="21:133" s="226" customFormat="1" x14ac:dyDescent="0.15"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  <c r="BM373" s="214"/>
      <c r="BN373" s="214"/>
      <c r="BO373" s="214"/>
      <c r="BP373" s="214"/>
      <c r="BQ373" s="214"/>
      <c r="BR373" s="214"/>
      <c r="BS373" s="214"/>
      <c r="BT373" s="214"/>
      <c r="BU373" s="214"/>
      <c r="BV373" s="214"/>
      <c r="BW373" s="214"/>
      <c r="BX373" s="214"/>
      <c r="BY373" s="214"/>
      <c r="BZ373" s="214"/>
      <c r="CA373" s="214"/>
      <c r="CB373" s="214"/>
      <c r="CC373" s="214"/>
      <c r="CD373" s="214"/>
      <c r="CE373" s="214"/>
      <c r="CF373" s="214"/>
      <c r="CG373" s="214"/>
      <c r="CH373" s="214"/>
      <c r="CI373" s="214"/>
      <c r="CJ373" s="214"/>
      <c r="CK373" s="214"/>
      <c r="CL373" s="214"/>
      <c r="CM373" s="214"/>
      <c r="CN373" s="214"/>
      <c r="CO373" s="214"/>
      <c r="CP373" s="214"/>
      <c r="CQ373" s="214"/>
      <c r="CR373" s="214"/>
      <c r="CS373" s="214"/>
      <c r="CT373" s="214"/>
      <c r="CU373" s="214"/>
      <c r="CV373" s="214"/>
      <c r="CW373" s="214"/>
      <c r="CX373" s="214"/>
      <c r="CY373" s="214"/>
      <c r="CZ373" s="214"/>
      <c r="DA373" s="214"/>
      <c r="DB373" s="214"/>
      <c r="DC373" s="214"/>
      <c r="DD373" s="214"/>
      <c r="DE373" s="214"/>
      <c r="DF373" s="214"/>
      <c r="DG373" s="214"/>
      <c r="DH373" s="214"/>
      <c r="DI373" s="214"/>
      <c r="DJ373" s="214"/>
      <c r="DK373" s="214"/>
      <c r="DL373" s="214"/>
      <c r="DM373" s="214"/>
      <c r="DN373" s="214"/>
      <c r="DO373" s="214"/>
      <c r="DP373" s="214"/>
      <c r="DQ373" s="214"/>
      <c r="DR373" s="214"/>
      <c r="DS373" s="214"/>
      <c r="DT373" s="214"/>
      <c r="DU373" s="214"/>
      <c r="DV373" s="214"/>
      <c r="DW373" s="214"/>
      <c r="DX373" s="214"/>
      <c r="DY373" s="214"/>
      <c r="DZ373" s="214"/>
      <c r="EA373" s="214"/>
      <c r="EB373" s="214"/>
      <c r="EC373" s="214"/>
    </row>
    <row r="374" spans="21:133" s="226" customFormat="1" x14ac:dyDescent="0.15"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4"/>
      <c r="BL374" s="214"/>
      <c r="BM374" s="214"/>
      <c r="BN374" s="214"/>
      <c r="BO374" s="214"/>
      <c r="BP374" s="214"/>
      <c r="BQ374" s="214"/>
      <c r="BR374" s="214"/>
      <c r="BS374" s="214"/>
      <c r="BT374" s="214"/>
      <c r="BU374" s="214"/>
      <c r="BV374" s="214"/>
      <c r="BW374" s="214"/>
      <c r="BX374" s="214"/>
      <c r="BY374" s="214"/>
      <c r="BZ374" s="214"/>
      <c r="CA374" s="214"/>
      <c r="CB374" s="214"/>
      <c r="CC374" s="214"/>
      <c r="CD374" s="214"/>
      <c r="CE374" s="214"/>
      <c r="CF374" s="214"/>
      <c r="CG374" s="214"/>
      <c r="CH374" s="214"/>
      <c r="CI374" s="214"/>
      <c r="CJ374" s="214"/>
      <c r="CK374" s="214"/>
      <c r="CL374" s="214"/>
      <c r="CM374" s="214"/>
      <c r="CN374" s="214"/>
      <c r="CO374" s="214"/>
      <c r="CP374" s="214"/>
      <c r="CQ374" s="214"/>
      <c r="CR374" s="214"/>
      <c r="CS374" s="214"/>
      <c r="CT374" s="214"/>
      <c r="CU374" s="214"/>
      <c r="CV374" s="214"/>
      <c r="CW374" s="214"/>
      <c r="CX374" s="214"/>
      <c r="CY374" s="214"/>
      <c r="CZ374" s="214"/>
      <c r="DA374" s="214"/>
      <c r="DB374" s="214"/>
      <c r="DC374" s="214"/>
      <c r="DD374" s="214"/>
      <c r="DE374" s="214"/>
      <c r="DF374" s="214"/>
      <c r="DG374" s="214"/>
      <c r="DH374" s="214"/>
      <c r="DI374" s="214"/>
      <c r="DJ374" s="214"/>
      <c r="DK374" s="214"/>
      <c r="DL374" s="214"/>
      <c r="DM374" s="214"/>
      <c r="DN374" s="214"/>
      <c r="DO374" s="214"/>
      <c r="DP374" s="214"/>
      <c r="DQ374" s="214"/>
      <c r="DR374" s="214"/>
      <c r="DS374" s="214"/>
      <c r="DT374" s="214"/>
      <c r="DU374" s="214"/>
      <c r="DV374" s="214"/>
      <c r="DW374" s="214"/>
      <c r="DX374" s="214"/>
      <c r="DY374" s="214"/>
      <c r="DZ374" s="214"/>
      <c r="EA374" s="214"/>
      <c r="EB374" s="214"/>
      <c r="EC374" s="214"/>
    </row>
    <row r="375" spans="21:133" s="226" customFormat="1" x14ac:dyDescent="0.15">
      <c r="U375" s="214"/>
      <c r="V375" s="214"/>
      <c r="W375" s="214"/>
      <c r="X375" s="214"/>
      <c r="Y375" s="214"/>
      <c r="Z375" s="214"/>
      <c r="AA375" s="214"/>
      <c r="AB375" s="214"/>
      <c r="AC375" s="214"/>
      <c r="AD375" s="214"/>
      <c r="AE375" s="214"/>
      <c r="AF375" s="214"/>
      <c r="AG375" s="214"/>
      <c r="AH375" s="214"/>
      <c r="AI375" s="214"/>
      <c r="AJ375" s="214"/>
      <c r="AK375" s="214"/>
      <c r="AL375" s="214"/>
      <c r="AM375" s="214"/>
      <c r="AN375" s="214"/>
      <c r="AO375" s="214"/>
      <c r="AP375" s="214"/>
      <c r="AQ375" s="214"/>
      <c r="AR375" s="214"/>
      <c r="AS375" s="214"/>
      <c r="AT375" s="214"/>
      <c r="AU375" s="214"/>
      <c r="AV375" s="214"/>
      <c r="AW375" s="214"/>
      <c r="AX375" s="214"/>
      <c r="AY375" s="214"/>
      <c r="AZ375" s="214"/>
      <c r="BA375" s="214"/>
      <c r="BB375" s="214"/>
      <c r="BC375" s="214"/>
      <c r="BD375" s="214"/>
      <c r="BE375" s="214"/>
      <c r="BF375" s="214"/>
      <c r="BG375" s="214"/>
      <c r="BH375" s="214"/>
      <c r="BI375" s="214"/>
      <c r="BJ375" s="214"/>
      <c r="BK375" s="214"/>
      <c r="BL375" s="214"/>
      <c r="BM375" s="214"/>
      <c r="BN375" s="214"/>
      <c r="BO375" s="214"/>
      <c r="BP375" s="214"/>
      <c r="BQ375" s="214"/>
      <c r="BR375" s="214"/>
      <c r="BS375" s="214"/>
      <c r="BT375" s="214"/>
      <c r="BU375" s="214"/>
      <c r="BV375" s="214"/>
      <c r="BW375" s="214"/>
      <c r="BX375" s="214"/>
      <c r="BY375" s="214"/>
      <c r="BZ375" s="214"/>
      <c r="CA375" s="214"/>
      <c r="CB375" s="214"/>
      <c r="CC375" s="214"/>
      <c r="CD375" s="214"/>
      <c r="CE375" s="214"/>
      <c r="CF375" s="214"/>
      <c r="CG375" s="214"/>
      <c r="CH375" s="214"/>
      <c r="CI375" s="214"/>
      <c r="CJ375" s="214"/>
      <c r="CK375" s="214"/>
      <c r="CL375" s="214"/>
      <c r="CM375" s="214"/>
      <c r="CN375" s="214"/>
      <c r="CO375" s="214"/>
      <c r="CP375" s="214"/>
      <c r="CQ375" s="214"/>
      <c r="CR375" s="214"/>
      <c r="CS375" s="214"/>
      <c r="CT375" s="214"/>
      <c r="CU375" s="214"/>
      <c r="CV375" s="214"/>
      <c r="CW375" s="214"/>
      <c r="CX375" s="214"/>
      <c r="CY375" s="214"/>
      <c r="CZ375" s="214"/>
      <c r="DA375" s="214"/>
      <c r="DB375" s="214"/>
      <c r="DC375" s="214"/>
      <c r="DD375" s="214"/>
      <c r="DE375" s="214"/>
      <c r="DF375" s="214"/>
      <c r="DG375" s="214"/>
      <c r="DH375" s="214"/>
      <c r="DI375" s="214"/>
      <c r="DJ375" s="214"/>
      <c r="DK375" s="214"/>
      <c r="DL375" s="214"/>
      <c r="DM375" s="214"/>
      <c r="DN375" s="214"/>
      <c r="DO375" s="214"/>
      <c r="DP375" s="214"/>
      <c r="DQ375" s="214"/>
      <c r="DR375" s="214"/>
      <c r="DS375" s="214"/>
      <c r="DT375" s="214"/>
      <c r="DU375" s="214"/>
      <c r="DV375" s="214"/>
      <c r="DW375" s="214"/>
      <c r="DX375" s="214"/>
      <c r="DY375" s="214"/>
      <c r="DZ375" s="214"/>
      <c r="EA375" s="214"/>
      <c r="EB375" s="214"/>
      <c r="EC375" s="214"/>
    </row>
    <row r="376" spans="21:133" s="226" customFormat="1" x14ac:dyDescent="0.15">
      <c r="U376" s="214"/>
      <c r="V376" s="214"/>
      <c r="W376" s="214"/>
      <c r="X376" s="214"/>
      <c r="Y376" s="214"/>
      <c r="Z376" s="214"/>
      <c r="AA376" s="214"/>
      <c r="AB376" s="214"/>
      <c r="AC376" s="214"/>
      <c r="AD376" s="214"/>
      <c r="AE376" s="214"/>
      <c r="AF376" s="214"/>
      <c r="AG376" s="214"/>
      <c r="AH376" s="214"/>
      <c r="AI376" s="214"/>
      <c r="AJ376" s="214"/>
      <c r="AK376" s="214"/>
      <c r="AL376" s="214"/>
      <c r="AM376" s="214"/>
      <c r="AN376" s="214"/>
      <c r="AO376" s="214"/>
      <c r="AP376" s="214"/>
      <c r="AQ376" s="214"/>
      <c r="AR376" s="214"/>
      <c r="AS376" s="214"/>
      <c r="AT376" s="214"/>
      <c r="AU376" s="214"/>
      <c r="AV376" s="214"/>
      <c r="AW376" s="214"/>
      <c r="AX376" s="214"/>
      <c r="AY376" s="214"/>
      <c r="AZ376" s="214"/>
      <c r="BA376" s="214"/>
      <c r="BB376" s="214"/>
      <c r="BC376" s="214"/>
      <c r="BD376" s="214"/>
      <c r="BE376" s="214"/>
      <c r="BF376" s="214"/>
      <c r="BG376" s="214"/>
      <c r="BH376" s="214"/>
      <c r="BI376" s="214"/>
      <c r="BJ376" s="214"/>
      <c r="BK376" s="214"/>
      <c r="BL376" s="214"/>
      <c r="BM376" s="214"/>
      <c r="BN376" s="214"/>
      <c r="BO376" s="214"/>
      <c r="BP376" s="214"/>
      <c r="BQ376" s="214"/>
      <c r="BR376" s="214"/>
      <c r="BS376" s="214"/>
      <c r="BT376" s="214"/>
      <c r="BU376" s="214"/>
      <c r="BV376" s="214"/>
      <c r="BW376" s="214"/>
      <c r="BX376" s="214"/>
      <c r="BY376" s="214"/>
      <c r="BZ376" s="214"/>
      <c r="CA376" s="214"/>
      <c r="CB376" s="214"/>
      <c r="CC376" s="214"/>
      <c r="CD376" s="214"/>
      <c r="CE376" s="214"/>
      <c r="CF376" s="214"/>
      <c r="CG376" s="214"/>
      <c r="CH376" s="214"/>
      <c r="CI376" s="214"/>
      <c r="CJ376" s="214"/>
      <c r="CK376" s="214"/>
      <c r="CL376" s="214"/>
      <c r="CM376" s="214"/>
      <c r="CN376" s="214"/>
      <c r="CO376" s="214"/>
      <c r="CP376" s="214"/>
      <c r="CQ376" s="214"/>
      <c r="CR376" s="214"/>
      <c r="CS376" s="214"/>
      <c r="CT376" s="214"/>
      <c r="CU376" s="214"/>
      <c r="CV376" s="214"/>
      <c r="CW376" s="214"/>
      <c r="CX376" s="214"/>
      <c r="CY376" s="214"/>
      <c r="CZ376" s="214"/>
      <c r="DA376" s="214"/>
      <c r="DB376" s="214"/>
      <c r="DC376" s="214"/>
      <c r="DD376" s="214"/>
      <c r="DE376" s="214"/>
      <c r="DF376" s="214"/>
      <c r="DG376" s="214"/>
      <c r="DH376" s="214"/>
      <c r="DI376" s="214"/>
      <c r="DJ376" s="214"/>
      <c r="DK376" s="214"/>
      <c r="DL376" s="214"/>
      <c r="DM376" s="214"/>
      <c r="DN376" s="214"/>
      <c r="DO376" s="214"/>
      <c r="DP376" s="214"/>
      <c r="DQ376" s="214"/>
      <c r="DR376" s="214"/>
      <c r="DS376" s="214"/>
      <c r="DT376" s="214"/>
      <c r="DU376" s="214"/>
      <c r="DV376" s="214"/>
      <c r="DW376" s="214"/>
      <c r="DX376" s="214"/>
      <c r="DY376" s="214"/>
      <c r="DZ376" s="214"/>
      <c r="EA376" s="214"/>
      <c r="EB376" s="214"/>
      <c r="EC376" s="214"/>
    </row>
    <row r="377" spans="21:133" s="226" customFormat="1" x14ac:dyDescent="0.15">
      <c r="U377" s="214"/>
      <c r="V377" s="214"/>
      <c r="W377" s="214"/>
      <c r="X377" s="214"/>
      <c r="Y377" s="214"/>
      <c r="Z377" s="214"/>
      <c r="AA377" s="214"/>
      <c r="AB377" s="214"/>
      <c r="AC377" s="214"/>
      <c r="AD377" s="214"/>
      <c r="AE377" s="214"/>
      <c r="AF377" s="214"/>
      <c r="AG377" s="214"/>
      <c r="AH377" s="214"/>
      <c r="AI377" s="214"/>
      <c r="AJ377" s="214"/>
      <c r="AK377" s="214"/>
      <c r="AL377" s="214"/>
      <c r="AM377" s="214"/>
      <c r="AN377" s="214"/>
      <c r="AO377" s="214"/>
      <c r="AP377" s="214"/>
      <c r="AQ377" s="214"/>
      <c r="AR377" s="214"/>
      <c r="AS377" s="214"/>
      <c r="AT377" s="214"/>
      <c r="AU377" s="214"/>
      <c r="AV377" s="214"/>
      <c r="AW377" s="214"/>
      <c r="AX377" s="214"/>
      <c r="AY377" s="214"/>
      <c r="AZ377" s="214"/>
      <c r="BA377" s="214"/>
      <c r="BB377" s="214"/>
      <c r="BC377" s="214"/>
      <c r="BD377" s="214"/>
      <c r="BE377" s="214"/>
      <c r="BF377" s="214"/>
      <c r="BG377" s="214"/>
      <c r="BH377" s="214"/>
      <c r="BI377" s="214"/>
      <c r="BJ377" s="214"/>
      <c r="BK377" s="214"/>
      <c r="BL377" s="214"/>
      <c r="BM377" s="214"/>
      <c r="BN377" s="214"/>
      <c r="BO377" s="214"/>
      <c r="BP377" s="214"/>
      <c r="BQ377" s="214"/>
      <c r="BR377" s="214"/>
      <c r="BS377" s="214"/>
      <c r="BT377" s="214"/>
      <c r="BU377" s="214"/>
      <c r="BV377" s="214"/>
      <c r="BW377" s="214"/>
      <c r="BX377" s="214"/>
      <c r="BY377" s="214"/>
      <c r="BZ377" s="214"/>
      <c r="CA377" s="214"/>
      <c r="CB377" s="214"/>
      <c r="CC377" s="214"/>
      <c r="CD377" s="214"/>
      <c r="CE377" s="214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4"/>
      <c r="CS377" s="214"/>
      <c r="CT377" s="214"/>
      <c r="CU377" s="214"/>
      <c r="CV377" s="214"/>
      <c r="CW377" s="214"/>
      <c r="CX377" s="214"/>
      <c r="CY377" s="214"/>
      <c r="CZ377" s="214"/>
      <c r="DA377" s="214"/>
      <c r="DB377" s="214"/>
      <c r="DC377" s="214"/>
      <c r="DD377" s="214"/>
      <c r="DE377" s="214"/>
      <c r="DF377" s="214"/>
      <c r="DG377" s="214"/>
      <c r="DH377" s="214"/>
      <c r="DI377" s="214"/>
      <c r="DJ377" s="214"/>
      <c r="DK377" s="214"/>
      <c r="DL377" s="214"/>
      <c r="DM377" s="214"/>
      <c r="DN377" s="214"/>
      <c r="DO377" s="214"/>
      <c r="DP377" s="214"/>
      <c r="DQ377" s="214"/>
      <c r="DR377" s="214"/>
      <c r="DS377" s="214"/>
      <c r="DT377" s="214"/>
      <c r="DU377" s="214"/>
      <c r="DV377" s="214"/>
      <c r="DW377" s="214"/>
      <c r="DX377" s="214"/>
      <c r="DY377" s="214"/>
      <c r="DZ377" s="214"/>
      <c r="EA377" s="214"/>
      <c r="EB377" s="214"/>
      <c r="EC377" s="214"/>
    </row>
    <row r="378" spans="21:133" s="226" customFormat="1" x14ac:dyDescent="0.15">
      <c r="U378" s="214"/>
      <c r="V378" s="214"/>
      <c r="W378" s="214"/>
      <c r="X378" s="214"/>
      <c r="Y378" s="214"/>
      <c r="Z378" s="214"/>
      <c r="AA378" s="214"/>
      <c r="AB378" s="214"/>
      <c r="AC378" s="214"/>
      <c r="AD378" s="214"/>
      <c r="AE378" s="214"/>
      <c r="AF378" s="214"/>
      <c r="AG378" s="214"/>
      <c r="AH378" s="214"/>
      <c r="AI378" s="214"/>
      <c r="AJ378" s="214"/>
      <c r="AK378" s="214"/>
      <c r="AL378" s="214"/>
      <c r="AM378" s="214"/>
      <c r="AN378" s="214"/>
      <c r="AO378" s="214"/>
      <c r="AP378" s="214"/>
      <c r="AQ378" s="214"/>
      <c r="AR378" s="214"/>
      <c r="AS378" s="214"/>
      <c r="AT378" s="214"/>
      <c r="AU378" s="214"/>
      <c r="AV378" s="214"/>
      <c r="AW378" s="214"/>
      <c r="AX378" s="214"/>
      <c r="AY378" s="214"/>
      <c r="AZ378" s="214"/>
      <c r="BA378" s="214"/>
      <c r="BB378" s="214"/>
      <c r="BC378" s="214"/>
      <c r="BD378" s="214"/>
      <c r="BE378" s="214"/>
      <c r="BF378" s="214"/>
      <c r="BG378" s="214"/>
      <c r="BH378" s="214"/>
      <c r="BI378" s="214"/>
      <c r="BJ378" s="214"/>
      <c r="BK378" s="214"/>
      <c r="BL378" s="214"/>
      <c r="BM378" s="214"/>
      <c r="BN378" s="214"/>
      <c r="BO378" s="214"/>
      <c r="BP378" s="214"/>
      <c r="BQ378" s="214"/>
      <c r="BR378" s="214"/>
      <c r="BS378" s="214"/>
      <c r="BT378" s="214"/>
      <c r="BU378" s="214"/>
      <c r="BV378" s="214"/>
      <c r="BW378" s="214"/>
      <c r="BX378" s="214"/>
      <c r="BY378" s="214"/>
      <c r="BZ378" s="214"/>
      <c r="CA378" s="214"/>
      <c r="CB378" s="214"/>
      <c r="CC378" s="214"/>
      <c r="CD378" s="214"/>
      <c r="CE378" s="214"/>
      <c r="CF378" s="214"/>
      <c r="CG378" s="214"/>
      <c r="CH378" s="214"/>
      <c r="CI378" s="214"/>
      <c r="CJ378" s="214"/>
      <c r="CK378" s="214"/>
      <c r="CL378" s="214"/>
      <c r="CM378" s="214"/>
      <c r="CN378" s="214"/>
      <c r="CO378" s="214"/>
      <c r="CP378" s="214"/>
      <c r="CQ378" s="214"/>
      <c r="CR378" s="214"/>
      <c r="CS378" s="214"/>
      <c r="CT378" s="214"/>
      <c r="CU378" s="214"/>
      <c r="CV378" s="214"/>
      <c r="CW378" s="214"/>
      <c r="CX378" s="214"/>
      <c r="CY378" s="214"/>
      <c r="CZ378" s="214"/>
      <c r="DA378" s="214"/>
      <c r="DB378" s="214"/>
      <c r="DC378" s="214"/>
      <c r="DD378" s="214"/>
      <c r="DE378" s="214"/>
      <c r="DF378" s="214"/>
      <c r="DG378" s="214"/>
      <c r="DH378" s="214"/>
      <c r="DI378" s="214"/>
      <c r="DJ378" s="214"/>
      <c r="DK378" s="214"/>
      <c r="DL378" s="214"/>
      <c r="DM378" s="214"/>
      <c r="DN378" s="214"/>
      <c r="DO378" s="214"/>
      <c r="DP378" s="214"/>
      <c r="DQ378" s="214"/>
      <c r="DR378" s="214"/>
      <c r="DS378" s="214"/>
      <c r="DT378" s="214"/>
      <c r="DU378" s="214"/>
      <c r="DV378" s="214"/>
      <c r="DW378" s="214"/>
      <c r="DX378" s="214"/>
      <c r="DY378" s="214"/>
      <c r="DZ378" s="214"/>
      <c r="EA378" s="214"/>
      <c r="EB378" s="214"/>
      <c r="EC378" s="214"/>
    </row>
    <row r="379" spans="21:133" s="226" customFormat="1" x14ac:dyDescent="0.15">
      <c r="U379" s="214"/>
      <c r="V379" s="214"/>
      <c r="W379" s="214"/>
      <c r="X379" s="214"/>
      <c r="Y379" s="214"/>
      <c r="Z379" s="214"/>
      <c r="AA379" s="214"/>
      <c r="AB379" s="214"/>
      <c r="AC379" s="214"/>
      <c r="AD379" s="214"/>
      <c r="AE379" s="214"/>
      <c r="AF379" s="214"/>
      <c r="AG379" s="214"/>
      <c r="AH379" s="214"/>
      <c r="AI379" s="214"/>
      <c r="AJ379" s="214"/>
      <c r="AK379" s="214"/>
      <c r="AL379" s="214"/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  <c r="BI379" s="214"/>
      <c r="BJ379" s="214"/>
      <c r="BK379" s="214"/>
      <c r="BL379" s="214"/>
      <c r="BM379" s="214"/>
      <c r="BN379" s="214"/>
      <c r="BO379" s="214"/>
      <c r="BP379" s="214"/>
      <c r="BQ379" s="214"/>
      <c r="BR379" s="214"/>
      <c r="BS379" s="214"/>
      <c r="BT379" s="214"/>
      <c r="BU379" s="214"/>
      <c r="BV379" s="214"/>
      <c r="BW379" s="214"/>
      <c r="BX379" s="214"/>
      <c r="BY379" s="214"/>
      <c r="BZ379" s="214"/>
      <c r="CA379" s="214"/>
      <c r="CB379" s="214"/>
      <c r="CC379" s="214"/>
      <c r="CD379" s="214"/>
      <c r="CE379" s="214"/>
      <c r="CF379" s="214"/>
      <c r="CG379" s="214"/>
      <c r="CH379" s="214"/>
      <c r="CI379" s="214"/>
      <c r="CJ379" s="214"/>
      <c r="CK379" s="214"/>
      <c r="CL379" s="214"/>
      <c r="CM379" s="214"/>
      <c r="CN379" s="214"/>
      <c r="CO379" s="214"/>
      <c r="CP379" s="214"/>
      <c r="CQ379" s="214"/>
      <c r="CR379" s="214"/>
      <c r="CS379" s="214"/>
      <c r="CT379" s="214"/>
      <c r="CU379" s="214"/>
      <c r="CV379" s="214"/>
      <c r="CW379" s="214"/>
      <c r="CX379" s="214"/>
      <c r="CY379" s="214"/>
      <c r="CZ379" s="214"/>
      <c r="DA379" s="214"/>
      <c r="DB379" s="214"/>
      <c r="DC379" s="214"/>
      <c r="DD379" s="214"/>
      <c r="DE379" s="214"/>
      <c r="DF379" s="214"/>
      <c r="DG379" s="214"/>
      <c r="DH379" s="214"/>
      <c r="DI379" s="214"/>
      <c r="DJ379" s="214"/>
      <c r="DK379" s="214"/>
      <c r="DL379" s="214"/>
      <c r="DM379" s="214"/>
      <c r="DN379" s="214"/>
      <c r="DO379" s="214"/>
      <c r="DP379" s="214"/>
      <c r="DQ379" s="214"/>
      <c r="DR379" s="214"/>
      <c r="DS379" s="214"/>
      <c r="DT379" s="214"/>
      <c r="DU379" s="214"/>
      <c r="DV379" s="214"/>
      <c r="DW379" s="214"/>
      <c r="DX379" s="214"/>
      <c r="DY379" s="214"/>
      <c r="DZ379" s="214"/>
      <c r="EA379" s="214"/>
      <c r="EB379" s="214"/>
      <c r="EC379" s="214"/>
    </row>
    <row r="380" spans="21:133" s="226" customFormat="1" x14ac:dyDescent="0.15">
      <c r="U380" s="214"/>
      <c r="V380" s="214"/>
      <c r="W380" s="214"/>
      <c r="X380" s="214"/>
      <c r="Y380" s="214"/>
      <c r="Z380" s="214"/>
      <c r="AA380" s="214"/>
      <c r="AB380" s="214"/>
      <c r="AC380" s="214"/>
      <c r="AD380" s="214"/>
      <c r="AE380" s="214"/>
      <c r="AF380" s="214"/>
      <c r="AG380" s="214"/>
      <c r="AH380" s="214"/>
      <c r="AI380" s="214"/>
      <c r="AJ380" s="214"/>
      <c r="AK380" s="214"/>
      <c r="AL380" s="214"/>
      <c r="AM380" s="214"/>
      <c r="AN380" s="214"/>
      <c r="AO380" s="214"/>
      <c r="AP380" s="214"/>
      <c r="AQ380" s="214"/>
      <c r="AR380" s="214"/>
      <c r="AS380" s="214"/>
      <c r="AT380" s="214"/>
      <c r="AU380" s="214"/>
      <c r="AV380" s="214"/>
      <c r="AW380" s="214"/>
      <c r="AX380" s="214"/>
      <c r="AY380" s="214"/>
      <c r="AZ380" s="214"/>
      <c r="BA380" s="214"/>
      <c r="BB380" s="214"/>
      <c r="BC380" s="214"/>
      <c r="BD380" s="214"/>
      <c r="BE380" s="214"/>
      <c r="BF380" s="214"/>
      <c r="BG380" s="214"/>
      <c r="BH380" s="214"/>
      <c r="BI380" s="214"/>
      <c r="BJ380" s="214"/>
      <c r="BK380" s="214"/>
      <c r="BL380" s="214"/>
      <c r="BM380" s="214"/>
      <c r="BN380" s="214"/>
      <c r="BO380" s="214"/>
      <c r="BP380" s="214"/>
      <c r="BQ380" s="214"/>
      <c r="BR380" s="214"/>
      <c r="BS380" s="214"/>
      <c r="BT380" s="214"/>
      <c r="BU380" s="214"/>
      <c r="BV380" s="214"/>
      <c r="BW380" s="214"/>
      <c r="BX380" s="214"/>
      <c r="BY380" s="214"/>
      <c r="BZ380" s="214"/>
      <c r="CA380" s="214"/>
      <c r="CB380" s="214"/>
      <c r="CC380" s="214"/>
      <c r="CD380" s="214"/>
      <c r="CE380" s="214"/>
      <c r="CF380" s="214"/>
      <c r="CG380" s="214"/>
      <c r="CH380" s="214"/>
      <c r="CI380" s="214"/>
      <c r="CJ380" s="214"/>
      <c r="CK380" s="214"/>
      <c r="CL380" s="214"/>
      <c r="CM380" s="214"/>
      <c r="CN380" s="214"/>
      <c r="CO380" s="214"/>
      <c r="CP380" s="214"/>
      <c r="CQ380" s="214"/>
      <c r="CR380" s="214"/>
      <c r="CS380" s="214"/>
      <c r="CT380" s="214"/>
      <c r="CU380" s="214"/>
      <c r="CV380" s="214"/>
      <c r="CW380" s="214"/>
      <c r="CX380" s="214"/>
      <c r="CY380" s="214"/>
      <c r="CZ380" s="214"/>
      <c r="DA380" s="214"/>
      <c r="DB380" s="214"/>
      <c r="DC380" s="214"/>
      <c r="DD380" s="214"/>
      <c r="DE380" s="214"/>
      <c r="DF380" s="214"/>
      <c r="DG380" s="214"/>
      <c r="DH380" s="214"/>
      <c r="DI380" s="214"/>
      <c r="DJ380" s="214"/>
      <c r="DK380" s="214"/>
      <c r="DL380" s="214"/>
      <c r="DM380" s="214"/>
      <c r="DN380" s="214"/>
      <c r="DO380" s="214"/>
      <c r="DP380" s="214"/>
      <c r="DQ380" s="214"/>
      <c r="DR380" s="214"/>
      <c r="DS380" s="214"/>
      <c r="DT380" s="214"/>
      <c r="DU380" s="214"/>
      <c r="DV380" s="214"/>
      <c r="DW380" s="214"/>
      <c r="DX380" s="214"/>
      <c r="DY380" s="214"/>
      <c r="DZ380" s="214"/>
      <c r="EA380" s="214"/>
      <c r="EB380" s="214"/>
      <c r="EC380" s="214"/>
    </row>
    <row r="381" spans="21:133" s="226" customFormat="1" x14ac:dyDescent="0.15">
      <c r="U381" s="214"/>
      <c r="V381" s="214"/>
      <c r="W381" s="214"/>
      <c r="X381" s="214"/>
      <c r="Y381" s="214"/>
      <c r="Z381" s="214"/>
      <c r="AA381" s="214"/>
      <c r="AB381" s="214"/>
      <c r="AC381" s="214"/>
      <c r="AD381" s="214"/>
      <c r="AE381" s="214"/>
      <c r="AF381" s="214"/>
      <c r="AG381" s="214"/>
      <c r="AH381" s="214"/>
      <c r="AI381" s="214"/>
      <c r="AJ381" s="214"/>
      <c r="AK381" s="214"/>
      <c r="AL381" s="214"/>
      <c r="AM381" s="214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  <c r="BM381" s="214"/>
      <c r="BN381" s="214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  <c r="CM381" s="214"/>
      <c r="CN381" s="214"/>
      <c r="CO381" s="214"/>
      <c r="CP381" s="214"/>
      <c r="CQ381" s="214"/>
      <c r="CR381" s="214"/>
      <c r="CS381" s="214"/>
      <c r="CT381" s="214"/>
      <c r="CU381" s="214"/>
      <c r="CV381" s="214"/>
      <c r="CW381" s="214"/>
      <c r="CX381" s="214"/>
      <c r="CY381" s="214"/>
      <c r="CZ381" s="214"/>
      <c r="DA381" s="214"/>
      <c r="DB381" s="214"/>
      <c r="DC381" s="214"/>
      <c r="DD381" s="214"/>
      <c r="DE381" s="214"/>
      <c r="DF381" s="214"/>
      <c r="DG381" s="214"/>
      <c r="DH381" s="214"/>
      <c r="DI381" s="214"/>
      <c r="DJ381" s="214"/>
      <c r="DK381" s="214"/>
      <c r="DL381" s="214"/>
      <c r="DM381" s="214"/>
      <c r="DN381" s="214"/>
      <c r="DO381" s="214"/>
      <c r="DP381" s="214"/>
      <c r="DQ381" s="214"/>
      <c r="DR381" s="214"/>
      <c r="DS381" s="214"/>
      <c r="DT381" s="214"/>
      <c r="DU381" s="214"/>
      <c r="DV381" s="214"/>
      <c r="DW381" s="214"/>
      <c r="DX381" s="214"/>
      <c r="DY381" s="214"/>
      <c r="DZ381" s="214"/>
      <c r="EA381" s="214"/>
      <c r="EB381" s="214"/>
      <c r="EC381" s="214"/>
    </row>
    <row r="382" spans="21:133" s="226" customFormat="1" x14ac:dyDescent="0.15">
      <c r="U382" s="214"/>
      <c r="V382" s="214"/>
      <c r="W382" s="214"/>
      <c r="X382" s="214"/>
      <c r="Y382" s="214"/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/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14"/>
      <c r="BJ382" s="214"/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14"/>
      <c r="CN382" s="214"/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14"/>
      <c r="DI382" s="214"/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</row>
    <row r="383" spans="21:133" s="226" customFormat="1" x14ac:dyDescent="0.15">
      <c r="U383" s="214"/>
      <c r="V383" s="214"/>
      <c r="W383" s="214"/>
      <c r="X383" s="214"/>
      <c r="Y383" s="214"/>
      <c r="Z383" s="214"/>
      <c r="AA383" s="214"/>
      <c r="AB383" s="214"/>
      <c r="AC383" s="214"/>
      <c r="AD383" s="214"/>
      <c r="AE383" s="214"/>
      <c r="AF383" s="214"/>
      <c r="AG383" s="214"/>
      <c r="AH383" s="214"/>
      <c r="AI383" s="214"/>
      <c r="AJ383" s="214"/>
      <c r="AK383" s="214"/>
      <c r="AL383" s="214"/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  <c r="BI383" s="214"/>
      <c r="BJ383" s="214"/>
      <c r="BK383" s="214"/>
      <c r="BL383" s="214"/>
      <c r="BM383" s="214"/>
      <c r="BN383" s="214"/>
      <c r="BO383" s="214"/>
      <c r="BP383" s="214"/>
      <c r="BQ383" s="214"/>
      <c r="BR383" s="214"/>
      <c r="BS383" s="214"/>
      <c r="BT383" s="214"/>
      <c r="BU383" s="214"/>
      <c r="BV383" s="214"/>
      <c r="BW383" s="214"/>
      <c r="BX383" s="214"/>
      <c r="BY383" s="214"/>
      <c r="BZ383" s="214"/>
      <c r="CA383" s="214"/>
      <c r="CB383" s="214"/>
      <c r="CC383" s="214"/>
      <c r="CD383" s="214"/>
      <c r="CE383" s="214"/>
      <c r="CF383" s="214"/>
      <c r="CG383" s="214"/>
      <c r="CH383" s="214"/>
      <c r="CI383" s="214"/>
      <c r="CJ383" s="214"/>
      <c r="CK383" s="214"/>
      <c r="CL383" s="214"/>
      <c r="CM383" s="214"/>
      <c r="CN383" s="214"/>
      <c r="CO383" s="214"/>
      <c r="CP383" s="214"/>
      <c r="CQ383" s="214"/>
      <c r="CR383" s="214"/>
      <c r="CS383" s="214"/>
      <c r="CT383" s="214"/>
      <c r="CU383" s="214"/>
      <c r="CV383" s="214"/>
      <c r="CW383" s="214"/>
      <c r="CX383" s="214"/>
      <c r="CY383" s="214"/>
      <c r="CZ383" s="214"/>
      <c r="DA383" s="214"/>
      <c r="DB383" s="214"/>
      <c r="DC383" s="214"/>
      <c r="DD383" s="214"/>
      <c r="DE383" s="214"/>
      <c r="DF383" s="214"/>
      <c r="DG383" s="214"/>
      <c r="DH383" s="214"/>
      <c r="DI383" s="214"/>
      <c r="DJ383" s="214"/>
      <c r="DK383" s="214"/>
      <c r="DL383" s="214"/>
      <c r="DM383" s="214"/>
      <c r="DN383" s="214"/>
      <c r="DO383" s="214"/>
      <c r="DP383" s="214"/>
      <c r="DQ383" s="214"/>
      <c r="DR383" s="214"/>
      <c r="DS383" s="214"/>
      <c r="DT383" s="214"/>
      <c r="DU383" s="214"/>
      <c r="DV383" s="214"/>
      <c r="DW383" s="214"/>
      <c r="DX383" s="214"/>
      <c r="DY383" s="214"/>
      <c r="DZ383" s="214"/>
      <c r="EA383" s="214"/>
      <c r="EB383" s="214"/>
      <c r="EC383" s="214"/>
    </row>
    <row r="384" spans="21:133" s="226" customFormat="1" x14ac:dyDescent="0.15"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4"/>
      <c r="BN384" s="214"/>
      <c r="BO384" s="214"/>
      <c r="BP384" s="214"/>
      <c r="BQ384" s="214"/>
      <c r="BR384" s="214"/>
      <c r="BS384" s="214"/>
      <c r="BT384" s="214"/>
      <c r="BU384" s="214"/>
      <c r="BV384" s="214"/>
      <c r="BW384" s="214"/>
      <c r="BX384" s="214"/>
      <c r="BY384" s="214"/>
      <c r="BZ384" s="214"/>
      <c r="CA384" s="214"/>
      <c r="CB384" s="214"/>
      <c r="CC384" s="214"/>
      <c r="CD384" s="214"/>
      <c r="CE384" s="214"/>
      <c r="CF384" s="214"/>
      <c r="CG384" s="214"/>
      <c r="CH384" s="214"/>
      <c r="CI384" s="214"/>
      <c r="CJ384" s="214"/>
      <c r="CK384" s="214"/>
      <c r="CL384" s="214"/>
      <c r="CM384" s="214"/>
      <c r="CN384" s="214"/>
      <c r="CO384" s="214"/>
      <c r="CP384" s="214"/>
      <c r="CQ384" s="214"/>
      <c r="CR384" s="214"/>
      <c r="CS384" s="214"/>
      <c r="CT384" s="214"/>
      <c r="CU384" s="214"/>
      <c r="CV384" s="214"/>
      <c r="CW384" s="214"/>
      <c r="CX384" s="214"/>
      <c r="CY384" s="214"/>
      <c r="CZ384" s="214"/>
      <c r="DA384" s="214"/>
      <c r="DB384" s="214"/>
      <c r="DC384" s="214"/>
      <c r="DD384" s="214"/>
      <c r="DE384" s="214"/>
      <c r="DF384" s="214"/>
      <c r="DG384" s="214"/>
      <c r="DH384" s="214"/>
      <c r="DI384" s="214"/>
      <c r="DJ384" s="214"/>
      <c r="DK384" s="214"/>
      <c r="DL384" s="214"/>
      <c r="DM384" s="214"/>
      <c r="DN384" s="214"/>
      <c r="DO384" s="214"/>
      <c r="DP384" s="214"/>
      <c r="DQ384" s="214"/>
      <c r="DR384" s="214"/>
      <c r="DS384" s="214"/>
      <c r="DT384" s="214"/>
      <c r="DU384" s="214"/>
      <c r="DV384" s="214"/>
      <c r="DW384" s="214"/>
      <c r="DX384" s="214"/>
      <c r="DY384" s="214"/>
      <c r="DZ384" s="214"/>
      <c r="EA384" s="214"/>
      <c r="EB384" s="214"/>
      <c r="EC384" s="214"/>
    </row>
    <row r="385" spans="21:133" s="226" customFormat="1" x14ac:dyDescent="0.15"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4"/>
      <c r="BN385" s="214"/>
      <c r="BO385" s="214"/>
      <c r="BP385" s="214"/>
      <c r="BQ385" s="214"/>
      <c r="BR385" s="214"/>
      <c r="BS385" s="214"/>
      <c r="BT385" s="214"/>
      <c r="BU385" s="214"/>
      <c r="BV385" s="214"/>
      <c r="BW385" s="214"/>
      <c r="BX385" s="214"/>
      <c r="BY385" s="214"/>
      <c r="BZ385" s="214"/>
      <c r="CA385" s="214"/>
      <c r="CB385" s="214"/>
      <c r="CC385" s="214"/>
      <c r="CD385" s="214"/>
      <c r="CE385" s="214"/>
      <c r="CF385" s="214"/>
      <c r="CG385" s="214"/>
      <c r="CH385" s="214"/>
      <c r="CI385" s="214"/>
      <c r="CJ385" s="214"/>
      <c r="CK385" s="214"/>
      <c r="CL385" s="214"/>
      <c r="CM385" s="214"/>
      <c r="CN385" s="214"/>
      <c r="CO385" s="214"/>
      <c r="CP385" s="214"/>
      <c r="CQ385" s="214"/>
      <c r="CR385" s="214"/>
      <c r="CS385" s="214"/>
      <c r="CT385" s="214"/>
      <c r="CU385" s="214"/>
      <c r="CV385" s="214"/>
      <c r="CW385" s="214"/>
      <c r="CX385" s="214"/>
      <c r="CY385" s="214"/>
      <c r="CZ385" s="214"/>
      <c r="DA385" s="214"/>
      <c r="DB385" s="214"/>
      <c r="DC385" s="214"/>
      <c r="DD385" s="214"/>
      <c r="DE385" s="214"/>
      <c r="DF385" s="214"/>
      <c r="DG385" s="214"/>
      <c r="DH385" s="214"/>
      <c r="DI385" s="214"/>
      <c r="DJ385" s="214"/>
      <c r="DK385" s="214"/>
      <c r="DL385" s="214"/>
      <c r="DM385" s="214"/>
      <c r="DN385" s="214"/>
      <c r="DO385" s="214"/>
      <c r="DP385" s="214"/>
      <c r="DQ385" s="214"/>
      <c r="DR385" s="214"/>
      <c r="DS385" s="214"/>
      <c r="DT385" s="214"/>
      <c r="DU385" s="214"/>
      <c r="DV385" s="214"/>
      <c r="DW385" s="214"/>
      <c r="DX385" s="214"/>
      <c r="DY385" s="214"/>
      <c r="DZ385" s="214"/>
      <c r="EA385" s="214"/>
      <c r="EB385" s="214"/>
      <c r="EC385" s="214"/>
    </row>
    <row r="386" spans="21:133" s="226" customFormat="1" x14ac:dyDescent="0.15"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4"/>
      <c r="BN386" s="214"/>
      <c r="BO386" s="214"/>
      <c r="BP386" s="214"/>
      <c r="BQ386" s="214"/>
      <c r="BR386" s="214"/>
      <c r="BS386" s="214"/>
      <c r="BT386" s="214"/>
      <c r="BU386" s="214"/>
      <c r="BV386" s="214"/>
      <c r="BW386" s="214"/>
      <c r="BX386" s="214"/>
      <c r="BY386" s="214"/>
      <c r="BZ386" s="214"/>
      <c r="CA386" s="214"/>
      <c r="CB386" s="214"/>
      <c r="CC386" s="214"/>
      <c r="CD386" s="214"/>
      <c r="CE386" s="214"/>
      <c r="CF386" s="214"/>
      <c r="CG386" s="214"/>
      <c r="CH386" s="214"/>
      <c r="CI386" s="214"/>
      <c r="CJ386" s="214"/>
      <c r="CK386" s="214"/>
      <c r="CL386" s="214"/>
      <c r="CM386" s="214"/>
      <c r="CN386" s="214"/>
      <c r="CO386" s="214"/>
      <c r="CP386" s="214"/>
      <c r="CQ386" s="214"/>
      <c r="CR386" s="214"/>
      <c r="CS386" s="214"/>
      <c r="CT386" s="214"/>
      <c r="CU386" s="214"/>
      <c r="CV386" s="214"/>
      <c r="CW386" s="214"/>
      <c r="CX386" s="214"/>
      <c r="CY386" s="214"/>
      <c r="CZ386" s="214"/>
      <c r="DA386" s="214"/>
      <c r="DB386" s="214"/>
      <c r="DC386" s="214"/>
      <c r="DD386" s="214"/>
      <c r="DE386" s="214"/>
      <c r="DF386" s="214"/>
      <c r="DG386" s="214"/>
      <c r="DH386" s="214"/>
      <c r="DI386" s="214"/>
      <c r="DJ386" s="214"/>
      <c r="DK386" s="214"/>
      <c r="DL386" s="214"/>
      <c r="DM386" s="214"/>
      <c r="DN386" s="214"/>
      <c r="DO386" s="214"/>
      <c r="DP386" s="214"/>
      <c r="DQ386" s="214"/>
      <c r="DR386" s="214"/>
      <c r="DS386" s="214"/>
      <c r="DT386" s="214"/>
      <c r="DU386" s="214"/>
      <c r="DV386" s="214"/>
      <c r="DW386" s="214"/>
      <c r="DX386" s="214"/>
      <c r="DY386" s="214"/>
      <c r="DZ386" s="214"/>
      <c r="EA386" s="214"/>
      <c r="EB386" s="214"/>
      <c r="EC386" s="214"/>
    </row>
    <row r="387" spans="21:133" s="226" customFormat="1" x14ac:dyDescent="0.15"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4"/>
      <c r="BN387" s="214"/>
      <c r="BO387" s="214"/>
      <c r="BP387" s="214"/>
      <c r="BQ387" s="214"/>
      <c r="BR387" s="214"/>
      <c r="BS387" s="214"/>
      <c r="BT387" s="214"/>
      <c r="BU387" s="214"/>
      <c r="BV387" s="214"/>
      <c r="BW387" s="214"/>
      <c r="BX387" s="214"/>
      <c r="BY387" s="214"/>
      <c r="BZ387" s="214"/>
      <c r="CA387" s="214"/>
      <c r="CB387" s="214"/>
      <c r="CC387" s="214"/>
      <c r="CD387" s="214"/>
      <c r="CE387" s="214"/>
      <c r="CF387" s="214"/>
      <c r="CG387" s="214"/>
      <c r="CH387" s="214"/>
      <c r="CI387" s="214"/>
      <c r="CJ387" s="214"/>
      <c r="CK387" s="214"/>
      <c r="CL387" s="214"/>
      <c r="CM387" s="214"/>
      <c r="CN387" s="214"/>
      <c r="CO387" s="214"/>
      <c r="CP387" s="214"/>
      <c r="CQ387" s="214"/>
      <c r="CR387" s="214"/>
      <c r="CS387" s="214"/>
      <c r="CT387" s="214"/>
      <c r="CU387" s="214"/>
      <c r="CV387" s="214"/>
      <c r="CW387" s="214"/>
      <c r="CX387" s="214"/>
      <c r="CY387" s="214"/>
      <c r="CZ387" s="214"/>
      <c r="DA387" s="214"/>
      <c r="DB387" s="214"/>
      <c r="DC387" s="214"/>
      <c r="DD387" s="214"/>
      <c r="DE387" s="214"/>
      <c r="DF387" s="214"/>
      <c r="DG387" s="214"/>
      <c r="DH387" s="214"/>
      <c r="DI387" s="214"/>
      <c r="DJ387" s="214"/>
      <c r="DK387" s="214"/>
      <c r="DL387" s="214"/>
      <c r="DM387" s="214"/>
      <c r="DN387" s="214"/>
      <c r="DO387" s="214"/>
      <c r="DP387" s="214"/>
      <c r="DQ387" s="214"/>
      <c r="DR387" s="214"/>
      <c r="DS387" s="214"/>
      <c r="DT387" s="214"/>
      <c r="DU387" s="214"/>
      <c r="DV387" s="214"/>
      <c r="DW387" s="214"/>
      <c r="DX387" s="214"/>
      <c r="DY387" s="214"/>
      <c r="DZ387" s="214"/>
      <c r="EA387" s="214"/>
      <c r="EB387" s="214"/>
      <c r="EC387" s="214"/>
    </row>
    <row r="388" spans="21:133" s="226" customFormat="1" x14ac:dyDescent="0.15"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4"/>
      <c r="BN388" s="214"/>
      <c r="BO388" s="214"/>
      <c r="BP388" s="214"/>
      <c r="BQ388" s="214"/>
      <c r="BR388" s="214"/>
      <c r="BS388" s="214"/>
      <c r="BT388" s="214"/>
      <c r="BU388" s="214"/>
      <c r="BV388" s="214"/>
      <c r="BW388" s="214"/>
      <c r="BX388" s="214"/>
      <c r="BY388" s="214"/>
      <c r="BZ388" s="214"/>
      <c r="CA388" s="214"/>
      <c r="CB388" s="214"/>
      <c r="CC388" s="214"/>
      <c r="CD388" s="214"/>
      <c r="CE388" s="214"/>
      <c r="CF388" s="214"/>
      <c r="CG388" s="214"/>
      <c r="CH388" s="214"/>
      <c r="CI388" s="214"/>
      <c r="CJ388" s="214"/>
      <c r="CK388" s="214"/>
      <c r="CL388" s="214"/>
      <c r="CM388" s="214"/>
      <c r="CN388" s="214"/>
      <c r="CO388" s="214"/>
      <c r="CP388" s="214"/>
      <c r="CQ388" s="214"/>
      <c r="CR388" s="214"/>
      <c r="CS388" s="214"/>
      <c r="CT388" s="214"/>
      <c r="CU388" s="214"/>
      <c r="CV388" s="214"/>
      <c r="CW388" s="214"/>
      <c r="CX388" s="214"/>
      <c r="CY388" s="214"/>
      <c r="CZ388" s="214"/>
      <c r="DA388" s="214"/>
      <c r="DB388" s="214"/>
      <c r="DC388" s="214"/>
      <c r="DD388" s="214"/>
      <c r="DE388" s="214"/>
      <c r="DF388" s="214"/>
      <c r="DG388" s="214"/>
      <c r="DH388" s="214"/>
      <c r="DI388" s="214"/>
      <c r="DJ388" s="214"/>
      <c r="DK388" s="214"/>
      <c r="DL388" s="214"/>
      <c r="DM388" s="214"/>
      <c r="DN388" s="214"/>
      <c r="DO388" s="214"/>
      <c r="DP388" s="214"/>
      <c r="DQ388" s="214"/>
      <c r="DR388" s="214"/>
      <c r="DS388" s="214"/>
      <c r="DT388" s="214"/>
      <c r="DU388" s="214"/>
      <c r="DV388" s="214"/>
      <c r="DW388" s="214"/>
      <c r="DX388" s="214"/>
      <c r="DY388" s="214"/>
      <c r="DZ388" s="214"/>
      <c r="EA388" s="214"/>
      <c r="EB388" s="214"/>
      <c r="EC388" s="214"/>
    </row>
    <row r="389" spans="21:133" s="226" customFormat="1" x14ac:dyDescent="0.15">
      <c r="U389" s="214"/>
      <c r="V389" s="214"/>
      <c r="W389" s="214"/>
      <c r="X389" s="214"/>
      <c r="Y389" s="214"/>
      <c r="Z389" s="214"/>
      <c r="AA389" s="214"/>
      <c r="AB389" s="214"/>
      <c r="AC389" s="214"/>
      <c r="AD389" s="214"/>
      <c r="AE389" s="214"/>
      <c r="AF389" s="214"/>
      <c r="AG389" s="214"/>
      <c r="AH389" s="214"/>
      <c r="AI389" s="214"/>
      <c r="AJ389" s="214"/>
      <c r="AK389" s="214"/>
      <c r="AL389" s="214"/>
      <c r="AM389" s="214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  <c r="BM389" s="214"/>
      <c r="BN389" s="214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4"/>
      <c r="CJ389" s="214"/>
      <c r="CK389" s="214"/>
      <c r="CL389" s="214"/>
      <c r="CM389" s="214"/>
      <c r="CN389" s="214"/>
      <c r="CO389" s="214"/>
      <c r="CP389" s="214"/>
      <c r="CQ389" s="214"/>
      <c r="CR389" s="214"/>
      <c r="CS389" s="214"/>
      <c r="CT389" s="214"/>
      <c r="CU389" s="214"/>
      <c r="CV389" s="214"/>
      <c r="CW389" s="214"/>
      <c r="CX389" s="214"/>
      <c r="CY389" s="214"/>
      <c r="CZ389" s="214"/>
      <c r="DA389" s="214"/>
      <c r="DB389" s="214"/>
      <c r="DC389" s="214"/>
      <c r="DD389" s="214"/>
      <c r="DE389" s="214"/>
      <c r="DF389" s="214"/>
      <c r="DG389" s="214"/>
      <c r="DH389" s="214"/>
      <c r="DI389" s="214"/>
      <c r="DJ389" s="214"/>
      <c r="DK389" s="214"/>
      <c r="DL389" s="214"/>
      <c r="DM389" s="214"/>
      <c r="DN389" s="214"/>
      <c r="DO389" s="214"/>
      <c r="DP389" s="214"/>
      <c r="DQ389" s="214"/>
      <c r="DR389" s="214"/>
      <c r="DS389" s="214"/>
      <c r="DT389" s="214"/>
      <c r="DU389" s="214"/>
      <c r="DV389" s="214"/>
      <c r="DW389" s="214"/>
      <c r="DX389" s="214"/>
      <c r="DY389" s="214"/>
      <c r="DZ389" s="214"/>
      <c r="EA389" s="214"/>
      <c r="EB389" s="214"/>
      <c r="EC389" s="214"/>
    </row>
    <row r="390" spans="21:133" s="226" customFormat="1" x14ac:dyDescent="0.15">
      <c r="U390" s="214"/>
      <c r="V390" s="214"/>
      <c r="W390" s="214"/>
      <c r="X390" s="214"/>
      <c r="Y390" s="214"/>
      <c r="Z390" s="214"/>
      <c r="AA390" s="214"/>
      <c r="AB390" s="214"/>
      <c r="AC390" s="214"/>
      <c r="AD390" s="214"/>
      <c r="AE390" s="214"/>
      <c r="AF390" s="214"/>
      <c r="AG390" s="214"/>
      <c r="AH390" s="214"/>
      <c r="AI390" s="214"/>
      <c r="AJ390" s="214"/>
      <c r="AK390" s="214"/>
      <c r="AL390" s="214"/>
      <c r="AM390" s="214"/>
      <c r="AN390" s="214"/>
      <c r="AO390" s="214"/>
      <c r="AP390" s="214"/>
      <c r="AQ390" s="214"/>
      <c r="AR390" s="214"/>
      <c r="AS390" s="214"/>
      <c r="AT390" s="214"/>
      <c r="AU390" s="214"/>
      <c r="AV390" s="214"/>
      <c r="AW390" s="214"/>
      <c r="AX390" s="214"/>
      <c r="AY390" s="214"/>
      <c r="AZ390" s="214"/>
      <c r="BA390" s="214"/>
      <c r="BB390" s="214"/>
      <c r="BC390" s="214"/>
      <c r="BD390" s="214"/>
      <c r="BE390" s="214"/>
      <c r="BF390" s="214"/>
      <c r="BG390" s="214"/>
      <c r="BH390" s="214"/>
      <c r="BI390" s="214"/>
      <c r="BJ390" s="214"/>
      <c r="BK390" s="214"/>
      <c r="BL390" s="214"/>
      <c r="BM390" s="214"/>
      <c r="BN390" s="214"/>
      <c r="BO390" s="214"/>
      <c r="BP390" s="214"/>
      <c r="BQ390" s="214"/>
      <c r="BR390" s="214"/>
      <c r="BS390" s="214"/>
      <c r="BT390" s="214"/>
      <c r="BU390" s="214"/>
      <c r="BV390" s="214"/>
      <c r="BW390" s="214"/>
      <c r="BX390" s="214"/>
      <c r="BY390" s="214"/>
      <c r="BZ390" s="214"/>
      <c r="CA390" s="214"/>
      <c r="CB390" s="214"/>
      <c r="CC390" s="214"/>
      <c r="CD390" s="214"/>
      <c r="CE390" s="214"/>
      <c r="CF390" s="214"/>
      <c r="CG390" s="214"/>
      <c r="CH390" s="214"/>
      <c r="CI390" s="214"/>
      <c r="CJ390" s="214"/>
      <c r="CK390" s="214"/>
      <c r="CL390" s="214"/>
      <c r="CM390" s="214"/>
      <c r="CN390" s="214"/>
      <c r="CO390" s="214"/>
      <c r="CP390" s="214"/>
      <c r="CQ390" s="214"/>
      <c r="CR390" s="214"/>
      <c r="CS390" s="214"/>
      <c r="CT390" s="214"/>
      <c r="CU390" s="214"/>
      <c r="CV390" s="214"/>
      <c r="CW390" s="214"/>
      <c r="CX390" s="214"/>
      <c r="CY390" s="214"/>
      <c r="CZ390" s="214"/>
      <c r="DA390" s="214"/>
      <c r="DB390" s="214"/>
      <c r="DC390" s="214"/>
      <c r="DD390" s="214"/>
      <c r="DE390" s="214"/>
      <c r="DF390" s="214"/>
      <c r="DG390" s="214"/>
      <c r="DH390" s="214"/>
      <c r="DI390" s="214"/>
      <c r="DJ390" s="214"/>
      <c r="DK390" s="214"/>
      <c r="DL390" s="214"/>
      <c r="DM390" s="214"/>
      <c r="DN390" s="214"/>
      <c r="DO390" s="214"/>
      <c r="DP390" s="214"/>
      <c r="DQ390" s="214"/>
      <c r="DR390" s="214"/>
      <c r="DS390" s="214"/>
      <c r="DT390" s="214"/>
      <c r="DU390" s="214"/>
      <c r="DV390" s="214"/>
      <c r="DW390" s="214"/>
      <c r="DX390" s="214"/>
      <c r="DY390" s="214"/>
      <c r="DZ390" s="214"/>
      <c r="EA390" s="214"/>
      <c r="EB390" s="214"/>
      <c r="EC390" s="214"/>
    </row>
    <row r="391" spans="21:133" s="226" customFormat="1" x14ac:dyDescent="0.15">
      <c r="U391" s="214"/>
      <c r="V391" s="214"/>
      <c r="W391" s="214"/>
      <c r="X391" s="214"/>
      <c r="Y391" s="214"/>
      <c r="Z391" s="214"/>
      <c r="AA391" s="214"/>
      <c r="AB391" s="214"/>
      <c r="AC391" s="214"/>
      <c r="AD391" s="214"/>
      <c r="AE391" s="214"/>
      <c r="AF391" s="214"/>
      <c r="AG391" s="214"/>
      <c r="AH391" s="214"/>
      <c r="AI391" s="214"/>
      <c r="AJ391" s="214"/>
      <c r="AK391" s="214"/>
      <c r="AL391" s="214"/>
      <c r="AM391" s="214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  <c r="BM391" s="214"/>
      <c r="BN391" s="214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4"/>
      <c r="CJ391" s="214"/>
      <c r="CK391" s="214"/>
      <c r="CL391" s="214"/>
      <c r="CM391" s="214"/>
      <c r="CN391" s="214"/>
      <c r="CO391" s="214"/>
      <c r="CP391" s="214"/>
      <c r="CQ391" s="214"/>
      <c r="CR391" s="214"/>
      <c r="CS391" s="214"/>
      <c r="CT391" s="214"/>
      <c r="CU391" s="214"/>
      <c r="CV391" s="214"/>
      <c r="CW391" s="214"/>
      <c r="CX391" s="214"/>
      <c r="CY391" s="214"/>
      <c r="CZ391" s="214"/>
      <c r="DA391" s="214"/>
      <c r="DB391" s="214"/>
      <c r="DC391" s="214"/>
      <c r="DD391" s="214"/>
      <c r="DE391" s="214"/>
      <c r="DF391" s="214"/>
      <c r="DG391" s="214"/>
      <c r="DH391" s="214"/>
      <c r="DI391" s="214"/>
      <c r="DJ391" s="214"/>
      <c r="DK391" s="214"/>
      <c r="DL391" s="214"/>
      <c r="DM391" s="214"/>
      <c r="DN391" s="214"/>
      <c r="DO391" s="214"/>
      <c r="DP391" s="214"/>
      <c r="DQ391" s="214"/>
      <c r="DR391" s="214"/>
      <c r="DS391" s="214"/>
      <c r="DT391" s="214"/>
      <c r="DU391" s="214"/>
      <c r="DV391" s="214"/>
      <c r="DW391" s="214"/>
      <c r="DX391" s="214"/>
      <c r="DY391" s="214"/>
      <c r="DZ391" s="214"/>
      <c r="EA391" s="214"/>
      <c r="EB391" s="214"/>
      <c r="EC391" s="214"/>
    </row>
    <row r="392" spans="21:133" s="226" customFormat="1" x14ac:dyDescent="0.15">
      <c r="U392" s="214"/>
      <c r="V392" s="214"/>
      <c r="W392" s="214"/>
      <c r="X392" s="214"/>
      <c r="Y392" s="214"/>
      <c r="Z392" s="214"/>
      <c r="AA392" s="214"/>
      <c r="AB392" s="214"/>
      <c r="AC392" s="214"/>
      <c r="AD392" s="214"/>
      <c r="AE392" s="214"/>
      <c r="AF392" s="214"/>
      <c r="AG392" s="214"/>
      <c r="AH392" s="214"/>
      <c r="AI392" s="214"/>
      <c r="AJ392" s="214"/>
      <c r="AK392" s="214"/>
      <c r="AL392" s="214"/>
      <c r="AM392" s="214"/>
      <c r="AN392" s="214"/>
      <c r="AO392" s="214"/>
      <c r="AP392" s="214"/>
      <c r="AQ392" s="214"/>
      <c r="AR392" s="214"/>
      <c r="AS392" s="214"/>
      <c r="AT392" s="214"/>
      <c r="AU392" s="214"/>
      <c r="AV392" s="214"/>
      <c r="AW392" s="214"/>
      <c r="AX392" s="214"/>
      <c r="AY392" s="214"/>
      <c r="AZ392" s="214"/>
      <c r="BA392" s="214"/>
      <c r="BB392" s="214"/>
      <c r="BC392" s="214"/>
      <c r="BD392" s="214"/>
      <c r="BE392" s="214"/>
      <c r="BF392" s="214"/>
      <c r="BG392" s="214"/>
      <c r="BH392" s="214"/>
      <c r="BI392" s="214"/>
      <c r="BJ392" s="214"/>
      <c r="BK392" s="214"/>
      <c r="BL392" s="214"/>
      <c r="BM392" s="214"/>
      <c r="BN392" s="214"/>
      <c r="BO392" s="214"/>
      <c r="BP392" s="214"/>
      <c r="BQ392" s="214"/>
      <c r="BR392" s="214"/>
      <c r="BS392" s="214"/>
      <c r="BT392" s="214"/>
      <c r="BU392" s="214"/>
      <c r="BV392" s="214"/>
      <c r="BW392" s="214"/>
      <c r="BX392" s="214"/>
      <c r="BY392" s="214"/>
      <c r="BZ392" s="214"/>
      <c r="CA392" s="214"/>
      <c r="CB392" s="214"/>
      <c r="CC392" s="214"/>
      <c r="CD392" s="214"/>
      <c r="CE392" s="214"/>
      <c r="CF392" s="214"/>
      <c r="CG392" s="214"/>
      <c r="CH392" s="214"/>
      <c r="CI392" s="214"/>
      <c r="CJ392" s="214"/>
      <c r="CK392" s="214"/>
      <c r="CL392" s="214"/>
      <c r="CM392" s="214"/>
      <c r="CN392" s="214"/>
      <c r="CO392" s="214"/>
      <c r="CP392" s="214"/>
      <c r="CQ392" s="214"/>
      <c r="CR392" s="214"/>
      <c r="CS392" s="214"/>
      <c r="CT392" s="214"/>
      <c r="CU392" s="214"/>
      <c r="CV392" s="214"/>
      <c r="CW392" s="214"/>
      <c r="CX392" s="214"/>
      <c r="CY392" s="214"/>
      <c r="CZ392" s="214"/>
      <c r="DA392" s="214"/>
      <c r="DB392" s="214"/>
      <c r="DC392" s="214"/>
      <c r="DD392" s="214"/>
      <c r="DE392" s="214"/>
      <c r="DF392" s="214"/>
      <c r="DG392" s="214"/>
      <c r="DH392" s="214"/>
      <c r="DI392" s="214"/>
      <c r="DJ392" s="214"/>
      <c r="DK392" s="214"/>
      <c r="DL392" s="214"/>
      <c r="DM392" s="214"/>
      <c r="DN392" s="214"/>
      <c r="DO392" s="214"/>
      <c r="DP392" s="214"/>
      <c r="DQ392" s="214"/>
      <c r="DR392" s="214"/>
      <c r="DS392" s="214"/>
      <c r="DT392" s="214"/>
      <c r="DU392" s="214"/>
      <c r="DV392" s="214"/>
      <c r="DW392" s="214"/>
      <c r="DX392" s="214"/>
      <c r="DY392" s="214"/>
      <c r="DZ392" s="214"/>
      <c r="EA392" s="214"/>
      <c r="EB392" s="214"/>
      <c r="EC392" s="214"/>
    </row>
    <row r="393" spans="21:133" s="226" customFormat="1" x14ac:dyDescent="0.15">
      <c r="U393" s="214"/>
      <c r="V393" s="214"/>
      <c r="W393" s="214"/>
      <c r="X393" s="214"/>
      <c r="Y393" s="214"/>
      <c r="Z393" s="214"/>
      <c r="AA393" s="214"/>
      <c r="AB393" s="214"/>
      <c r="AC393" s="214"/>
      <c r="AD393" s="214"/>
      <c r="AE393" s="214"/>
      <c r="AF393" s="214"/>
      <c r="AG393" s="214"/>
      <c r="AH393" s="214"/>
      <c r="AI393" s="214"/>
      <c r="AJ393" s="214"/>
      <c r="AK393" s="214"/>
      <c r="AL393" s="214"/>
      <c r="AM393" s="214"/>
      <c r="AN393" s="214"/>
      <c r="AO393" s="214"/>
      <c r="AP393" s="214"/>
      <c r="AQ393" s="214"/>
      <c r="AR393" s="214"/>
      <c r="AS393" s="214"/>
      <c r="AT393" s="214"/>
      <c r="AU393" s="214"/>
      <c r="AV393" s="214"/>
      <c r="AW393" s="214"/>
      <c r="AX393" s="214"/>
      <c r="AY393" s="214"/>
      <c r="AZ393" s="214"/>
      <c r="BA393" s="214"/>
      <c r="BB393" s="214"/>
      <c r="BC393" s="214"/>
      <c r="BD393" s="214"/>
      <c r="BE393" s="214"/>
      <c r="BF393" s="214"/>
      <c r="BG393" s="214"/>
      <c r="BH393" s="214"/>
      <c r="BI393" s="214"/>
      <c r="BJ393" s="214"/>
      <c r="BK393" s="214"/>
      <c r="BL393" s="214"/>
      <c r="BM393" s="214"/>
      <c r="BN393" s="214"/>
      <c r="BO393" s="214"/>
      <c r="BP393" s="214"/>
      <c r="BQ393" s="214"/>
      <c r="BR393" s="214"/>
      <c r="BS393" s="214"/>
      <c r="BT393" s="214"/>
      <c r="BU393" s="214"/>
      <c r="BV393" s="214"/>
      <c r="BW393" s="214"/>
      <c r="BX393" s="214"/>
      <c r="BY393" s="214"/>
      <c r="BZ393" s="214"/>
      <c r="CA393" s="214"/>
      <c r="CB393" s="214"/>
      <c r="CC393" s="214"/>
      <c r="CD393" s="214"/>
      <c r="CE393" s="214"/>
      <c r="CF393" s="214"/>
      <c r="CG393" s="214"/>
      <c r="CH393" s="214"/>
      <c r="CI393" s="214"/>
      <c r="CJ393" s="214"/>
      <c r="CK393" s="214"/>
      <c r="CL393" s="214"/>
      <c r="CM393" s="214"/>
      <c r="CN393" s="214"/>
      <c r="CO393" s="214"/>
      <c r="CP393" s="214"/>
      <c r="CQ393" s="214"/>
      <c r="CR393" s="214"/>
      <c r="CS393" s="214"/>
      <c r="CT393" s="214"/>
      <c r="CU393" s="214"/>
      <c r="CV393" s="214"/>
      <c r="CW393" s="214"/>
      <c r="CX393" s="214"/>
      <c r="CY393" s="214"/>
      <c r="CZ393" s="214"/>
      <c r="DA393" s="214"/>
      <c r="DB393" s="214"/>
      <c r="DC393" s="214"/>
      <c r="DD393" s="214"/>
      <c r="DE393" s="214"/>
      <c r="DF393" s="214"/>
      <c r="DG393" s="214"/>
      <c r="DH393" s="214"/>
      <c r="DI393" s="214"/>
      <c r="DJ393" s="214"/>
      <c r="DK393" s="214"/>
      <c r="DL393" s="214"/>
      <c r="DM393" s="214"/>
      <c r="DN393" s="214"/>
      <c r="DO393" s="214"/>
      <c r="DP393" s="214"/>
      <c r="DQ393" s="214"/>
      <c r="DR393" s="214"/>
      <c r="DS393" s="214"/>
      <c r="DT393" s="214"/>
      <c r="DU393" s="214"/>
      <c r="DV393" s="214"/>
      <c r="DW393" s="214"/>
      <c r="DX393" s="214"/>
      <c r="DY393" s="214"/>
      <c r="DZ393" s="214"/>
      <c r="EA393" s="214"/>
      <c r="EB393" s="214"/>
      <c r="EC393" s="214"/>
    </row>
    <row r="394" spans="21:133" s="226" customFormat="1" x14ac:dyDescent="0.15">
      <c r="U394" s="214"/>
      <c r="V394" s="214"/>
      <c r="W394" s="214"/>
      <c r="X394" s="214"/>
      <c r="Y394" s="214"/>
      <c r="Z394" s="214"/>
      <c r="AA394" s="214"/>
      <c r="AB394" s="214"/>
      <c r="AC394" s="214"/>
      <c r="AD394" s="214"/>
      <c r="AE394" s="214"/>
      <c r="AF394" s="214"/>
      <c r="AG394" s="214"/>
      <c r="AH394" s="214"/>
      <c r="AI394" s="214"/>
      <c r="AJ394" s="214"/>
      <c r="AK394" s="214"/>
      <c r="AL394" s="214"/>
      <c r="AM394" s="214"/>
      <c r="AN394" s="214"/>
      <c r="AO394" s="214"/>
      <c r="AP394" s="214"/>
      <c r="AQ394" s="214"/>
      <c r="AR394" s="214"/>
      <c r="AS394" s="214"/>
      <c r="AT394" s="214"/>
      <c r="AU394" s="214"/>
      <c r="AV394" s="214"/>
      <c r="AW394" s="214"/>
      <c r="AX394" s="214"/>
      <c r="AY394" s="214"/>
      <c r="AZ394" s="214"/>
      <c r="BA394" s="214"/>
      <c r="BB394" s="214"/>
      <c r="BC394" s="214"/>
      <c r="BD394" s="214"/>
      <c r="BE394" s="214"/>
      <c r="BF394" s="214"/>
      <c r="BG394" s="214"/>
      <c r="BH394" s="214"/>
      <c r="BI394" s="214"/>
      <c r="BJ394" s="214"/>
      <c r="BK394" s="214"/>
      <c r="BL394" s="214"/>
      <c r="BM394" s="214"/>
      <c r="BN394" s="214"/>
      <c r="BO394" s="214"/>
      <c r="BP394" s="214"/>
      <c r="BQ394" s="214"/>
      <c r="BR394" s="214"/>
      <c r="BS394" s="214"/>
      <c r="BT394" s="214"/>
      <c r="BU394" s="214"/>
      <c r="BV394" s="214"/>
      <c r="BW394" s="214"/>
      <c r="BX394" s="214"/>
      <c r="BY394" s="214"/>
      <c r="BZ394" s="214"/>
      <c r="CA394" s="214"/>
      <c r="CB394" s="214"/>
      <c r="CC394" s="214"/>
      <c r="CD394" s="214"/>
      <c r="CE394" s="214"/>
      <c r="CF394" s="214"/>
      <c r="CG394" s="214"/>
      <c r="CH394" s="214"/>
      <c r="CI394" s="214"/>
      <c r="CJ394" s="214"/>
      <c r="CK394" s="214"/>
      <c r="CL394" s="214"/>
      <c r="CM394" s="214"/>
      <c r="CN394" s="214"/>
      <c r="CO394" s="214"/>
      <c r="CP394" s="214"/>
      <c r="CQ394" s="214"/>
      <c r="CR394" s="214"/>
      <c r="CS394" s="214"/>
      <c r="CT394" s="214"/>
      <c r="CU394" s="214"/>
      <c r="CV394" s="214"/>
      <c r="CW394" s="214"/>
      <c r="CX394" s="214"/>
      <c r="CY394" s="214"/>
      <c r="CZ394" s="214"/>
      <c r="DA394" s="214"/>
      <c r="DB394" s="214"/>
      <c r="DC394" s="214"/>
      <c r="DD394" s="214"/>
      <c r="DE394" s="214"/>
      <c r="DF394" s="214"/>
      <c r="DG394" s="214"/>
      <c r="DH394" s="214"/>
      <c r="DI394" s="214"/>
      <c r="DJ394" s="214"/>
      <c r="DK394" s="214"/>
      <c r="DL394" s="214"/>
      <c r="DM394" s="214"/>
      <c r="DN394" s="214"/>
      <c r="DO394" s="214"/>
      <c r="DP394" s="214"/>
      <c r="DQ394" s="214"/>
      <c r="DR394" s="214"/>
      <c r="DS394" s="214"/>
      <c r="DT394" s="214"/>
      <c r="DU394" s="214"/>
      <c r="DV394" s="214"/>
      <c r="DW394" s="214"/>
      <c r="DX394" s="214"/>
      <c r="DY394" s="214"/>
      <c r="DZ394" s="214"/>
      <c r="EA394" s="214"/>
      <c r="EB394" s="214"/>
      <c r="EC394" s="214"/>
    </row>
    <row r="395" spans="21:133" s="226" customFormat="1" x14ac:dyDescent="0.15">
      <c r="U395" s="214"/>
      <c r="V395" s="214"/>
      <c r="W395" s="214"/>
      <c r="X395" s="214"/>
      <c r="Y395" s="214"/>
      <c r="Z395" s="214"/>
      <c r="AA395" s="214"/>
      <c r="AB395" s="214"/>
      <c r="AC395" s="214"/>
      <c r="AD395" s="214"/>
      <c r="AE395" s="214"/>
      <c r="AF395" s="214"/>
      <c r="AG395" s="214"/>
      <c r="AH395" s="214"/>
      <c r="AI395" s="214"/>
      <c r="AJ395" s="214"/>
      <c r="AK395" s="214"/>
      <c r="AL395" s="214"/>
      <c r="AM395" s="214"/>
      <c r="AN395" s="214"/>
      <c r="AO395" s="214"/>
      <c r="AP395" s="214"/>
      <c r="AQ395" s="214"/>
      <c r="AR395" s="214"/>
      <c r="AS395" s="214"/>
      <c r="AT395" s="214"/>
      <c r="AU395" s="214"/>
      <c r="AV395" s="214"/>
      <c r="AW395" s="214"/>
      <c r="AX395" s="214"/>
      <c r="AY395" s="214"/>
      <c r="AZ395" s="214"/>
      <c r="BA395" s="214"/>
      <c r="BB395" s="214"/>
      <c r="BC395" s="214"/>
      <c r="BD395" s="214"/>
      <c r="BE395" s="214"/>
      <c r="BF395" s="214"/>
      <c r="BG395" s="214"/>
      <c r="BH395" s="214"/>
      <c r="BI395" s="214"/>
      <c r="BJ395" s="214"/>
      <c r="BK395" s="214"/>
      <c r="BL395" s="214"/>
      <c r="BM395" s="214"/>
      <c r="BN395" s="214"/>
      <c r="BO395" s="214"/>
      <c r="BP395" s="214"/>
      <c r="BQ395" s="214"/>
      <c r="BR395" s="214"/>
      <c r="BS395" s="214"/>
      <c r="BT395" s="214"/>
      <c r="BU395" s="214"/>
      <c r="BV395" s="214"/>
      <c r="BW395" s="214"/>
      <c r="BX395" s="214"/>
      <c r="BY395" s="214"/>
      <c r="BZ395" s="214"/>
      <c r="CA395" s="214"/>
      <c r="CB395" s="214"/>
      <c r="CC395" s="214"/>
      <c r="CD395" s="214"/>
      <c r="CE395" s="214"/>
      <c r="CF395" s="214"/>
      <c r="CG395" s="214"/>
      <c r="CH395" s="214"/>
      <c r="CI395" s="214"/>
      <c r="CJ395" s="214"/>
      <c r="CK395" s="214"/>
      <c r="CL395" s="214"/>
      <c r="CM395" s="214"/>
      <c r="CN395" s="214"/>
      <c r="CO395" s="214"/>
      <c r="CP395" s="214"/>
      <c r="CQ395" s="214"/>
      <c r="CR395" s="214"/>
      <c r="CS395" s="214"/>
      <c r="CT395" s="214"/>
      <c r="CU395" s="214"/>
      <c r="CV395" s="214"/>
      <c r="CW395" s="214"/>
      <c r="CX395" s="214"/>
      <c r="CY395" s="214"/>
      <c r="CZ395" s="214"/>
      <c r="DA395" s="214"/>
      <c r="DB395" s="214"/>
      <c r="DC395" s="214"/>
      <c r="DD395" s="214"/>
      <c r="DE395" s="214"/>
      <c r="DF395" s="214"/>
      <c r="DG395" s="214"/>
      <c r="DH395" s="214"/>
      <c r="DI395" s="214"/>
      <c r="DJ395" s="214"/>
      <c r="DK395" s="214"/>
      <c r="DL395" s="214"/>
      <c r="DM395" s="214"/>
      <c r="DN395" s="214"/>
      <c r="DO395" s="214"/>
      <c r="DP395" s="214"/>
      <c r="DQ395" s="214"/>
      <c r="DR395" s="214"/>
      <c r="DS395" s="214"/>
      <c r="DT395" s="214"/>
      <c r="DU395" s="214"/>
      <c r="DV395" s="214"/>
      <c r="DW395" s="214"/>
      <c r="DX395" s="214"/>
      <c r="DY395" s="214"/>
      <c r="DZ395" s="214"/>
      <c r="EA395" s="214"/>
      <c r="EB395" s="214"/>
      <c r="EC395" s="214"/>
    </row>
    <row r="396" spans="21:133" s="226" customFormat="1" x14ac:dyDescent="0.15">
      <c r="U396" s="214"/>
      <c r="V396" s="214"/>
      <c r="W396" s="214"/>
      <c r="X396" s="214"/>
      <c r="Y396" s="214"/>
      <c r="Z396" s="214"/>
      <c r="AA396" s="214"/>
      <c r="AB396" s="214"/>
      <c r="AC396" s="214"/>
      <c r="AD396" s="214"/>
      <c r="AE396" s="214"/>
      <c r="AF396" s="214"/>
      <c r="AG396" s="214"/>
      <c r="AH396" s="214"/>
      <c r="AI396" s="214"/>
      <c r="AJ396" s="214"/>
      <c r="AK396" s="214"/>
      <c r="AL396" s="214"/>
      <c r="AM396" s="214"/>
      <c r="AN396" s="214"/>
      <c r="AO396" s="214"/>
      <c r="AP396" s="214"/>
      <c r="AQ396" s="214"/>
      <c r="AR396" s="214"/>
      <c r="AS396" s="214"/>
      <c r="AT396" s="214"/>
      <c r="AU396" s="214"/>
      <c r="AV396" s="214"/>
      <c r="AW396" s="214"/>
      <c r="AX396" s="214"/>
      <c r="AY396" s="214"/>
      <c r="AZ396" s="214"/>
      <c r="BA396" s="214"/>
      <c r="BB396" s="214"/>
      <c r="BC396" s="214"/>
      <c r="BD396" s="214"/>
      <c r="BE396" s="214"/>
      <c r="BF396" s="214"/>
      <c r="BG396" s="214"/>
      <c r="BH396" s="214"/>
      <c r="BI396" s="214"/>
      <c r="BJ396" s="214"/>
      <c r="BK396" s="214"/>
      <c r="BL396" s="214"/>
      <c r="BM396" s="214"/>
      <c r="BN396" s="214"/>
      <c r="BO396" s="214"/>
      <c r="BP396" s="214"/>
      <c r="BQ396" s="214"/>
      <c r="BR396" s="214"/>
      <c r="BS396" s="214"/>
      <c r="BT396" s="214"/>
      <c r="BU396" s="214"/>
      <c r="BV396" s="214"/>
      <c r="BW396" s="214"/>
      <c r="BX396" s="214"/>
      <c r="BY396" s="214"/>
      <c r="BZ396" s="214"/>
      <c r="CA396" s="214"/>
      <c r="CB396" s="214"/>
      <c r="CC396" s="214"/>
      <c r="CD396" s="214"/>
      <c r="CE396" s="214"/>
      <c r="CF396" s="214"/>
      <c r="CG396" s="214"/>
      <c r="CH396" s="214"/>
      <c r="CI396" s="214"/>
      <c r="CJ396" s="214"/>
      <c r="CK396" s="214"/>
      <c r="CL396" s="214"/>
      <c r="CM396" s="214"/>
      <c r="CN396" s="214"/>
      <c r="CO396" s="214"/>
      <c r="CP396" s="214"/>
      <c r="CQ396" s="214"/>
      <c r="CR396" s="214"/>
      <c r="CS396" s="214"/>
      <c r="CT396" s="214"/>
      <c r="CU396" s="214"/>
      <c r="CV396" s="214"/>
      <c r="CW396" s="214"/>
      <c r="CX396" s="214"/>
      <c r="CY396" s="214"/>
      <c r="CZ396" s="214"/>
      <c r="DA396" s="214"/>
      <c r="DB396" s="214"/>
      <c r="DC396" s="214"/>
      <c r="DD396" s="214"/>
      <c r="DE396" s="214"/>
      <c r="DF396" s="214"/>
      <c r="DG396" s="214"/>
      <c r="DH396" s="214"/>
      <c r="DI396" s="214"/>
      <c r="DJ396" s="214"/>
      <c r="DK396" s="214"/>
      <c r="DL396" s="214"/>
      <c r="DM396" s="214"/>
      <c r="DN396" s="214"/>
      <c r="DO396" s="214"/>
      <c r="DP396" s="214"/>
      <c r="DQ396" s="214"/>
      <c r="DR396" s="214"/>
      <c r="DS396" s="214"/>
      <c r="DT396" s="214"/>
      <c r="DU396" s="214"/>
      <c r="DV396" s="214"/>
      <c r="DW396" s="214"/>
      <c r="DX396" s="214"/>
      <c r="DY396" s="214"/>
      <c r="DZ396" s="214"/>
      <c r="EA396" s="214"/>
      <c r="EB396" s="214"/>
      <c r="EC396" s="214"/>
    </row>
    <row r="397" spans="21:133" s="226" customFormat="1" x14ac:dyDescent="0.15">
      <c r="U397" s="214"/>
      <c r="V397" s="214"/>
      <c r="W397" s="214"/>
      <c r="X397" s="214"/>
      <c r="Y397" s="214"/>
      <c r="Z397" s="214"/>
      <c r="AA397" s="214"/>
      <c r="AB397" s="214"/>
      <c r="AC397" s="214"/>
      <c r="AD397" s="214"/>
      <c r="AE397" s="214"/>
      <c r="AF397" s="214"/>
      <c r="AG397" s="214"/>
      <c r="AH397" s="214"/>
      <c r="AI397" s="214"/>
      <c r="AJ397" s="214"/>
      <c r="AK397" s="214"/>
      <c r="AL397" s="214"/>
      <c r="AM397" s="214"/>
      <c r="AN397" s="214"/>
      <c r="AO397" s="214"/>
      <c r="AP397" s="214"/>
      <c r="AQ397" s="214"/>
      <c r="AR397" s="214"/>
      <c r="AS397" s="214"/>
      <c r="AT397" s="214"/>
      <c r="AU397" s="214"/>
      <c r="AV397" s="214"/>
      <c r="AW397" s="214"/>
      <c r="AX397" s="214"/>
      <c r="AY397" s="214"/>
      <c r="AZ397" s="214"/>
      <c r="BA397" s="214"/>
      <c r="BB397" s="214"/>
      <c r="BC397" s="214"/>
      <c r="BD397" s="214"/>
      <c r="BE397" s="214"/>
      <c r="BF397" s="214"/>
      <c r="BG397" s="214"/>
      <c r="BH397" s="214"/>
      <c r="BI397" s="214"/>
      <c r="BJ397" s="214"/>
      <c r="BK397" s="214"/>
      <c r="BL397" s="214"/>
      <c r="BM397" s="214"/>
      <c r="BN397" s="214"/>
      <c r="BO397" s="214"/>
      <c r="BP397" s="214"/>
      <c r="BQ397" s="214"/>
      <c r="BR397" s="214"/>
      <c r="BS397" s="214"/>
      <c r="BT397" s="214"/>
      <c r="BU397" s="214"/>
      <c r="BV397" s="214"/>
      <c r="BW397" s="214"/>
      <c r="BX397" s="214"/>
      <c r="BY397" s="214"/>
      <c r="BZ397" s="214"/>
      <c r="CA397" s="214"/>
      <c r="CB397" s="214"/>
      <c r="CC397" s="214"/>
      <c r="CD397" s="214"/>
      <c r="CE397" s="214"/>
      <c r="CF397" s="214"/>
      <c r="CG397" s="214"/>
      <c r="CH397" s="214"/>
      <c r="CI397" s="214"/>
      <c r="CJ397" s="214"/>
      <c r="CK397" s="214"/>
      <c r="CL397" s="214"/>
      <c r="CM397" s="214"/>
      <c r="CN397" s="214"/>
      <c r="CO397" s="214"/>
      <c r="CP397" s="214"/>
      <c r="CQ397" s="214"/>
      <c r="CR397" s="214"/>
      <c r="CS397" s="214"/>
      <c r="CT397" s="214"/>
      <c r="CU397" s="214"/>
      <c r="CV397" s="214"/>
      <c r="CW397" s="214"/>
      <c r="CX397" s="214"/>
      <c r="CY397" s="214"/>
      <c r="CZ397" s="214"/>
      <c r="DA397" s="214"/>
      <c r="DB397" s="214"/>
      <c r="DC397" s="214"/>
      <c r="DD397" s="214"/>
      <c r="DE397" s="214"/>
      <c r="DF397" s="214"/>
      <c r="DG397" s="214"/>
      <c r="DH397" s="214"/>
      <c r="DI397" s="214"/>
      <c r="DJ397" s="214"/>
      <c r="DK397" s="214"/>
      <c r="DL397" s="214"/>
      <c r="DM397" s="214"/>
      <c r="DN397" s="214"/>
      <c r="DO397" s="214"/>
      <c r="DP397" s="214"/>
      <c r="DQ397" s="214"/>
      <c r="DR397" s="214"/>
      <c r="DS397" s="214"/>
      <c r="DT397" s="214"/>
      <c r="DU397" s="214"/>
      <c r="DV397" s="214"/>
      <c r="DW397" s="214"/>
      <c r="DX397" s="214"/>
      <c r="DY397" s="214"/>
      <c r="DZ397" s="214"/>
      <c r="EA397" s="214"/>
      <c r="EB397" s="214"/>
      <c r="EC397" s="214"/>
    </row>
    <row r="398" spans="21:133" s="226" customFormat="1" x14ac:dyDescent="0.15"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  <c r="BI398" s="214"/>
      <c r="BJ398" s="214"/>
      <c r="BK398" s="214"/>
      <c r="BL398" s="214"/>
      <c r="BM398" s="214"/>
      <c r="BN398" s="214"/>
      <c r="BO398" s="214"/>
      <c r="BP398" s="214"/>
      <c r="BQ398" s="214"/>
      <c r="BR398" s="214"/>
      <c r="BS398" s="214"/>
      <c r="BT398" s="214"/>
      <c r="BU398" s="214"/>
      <c r="BV398" s="214"/>
      <c r="BW398" s="214"/>
      <c r="BX398" s="214"/>
      <c r="BY398" s="214"/>
      <c r="BZ398" s="214"/>
      <c r="CA398" s="214"/>
      <c r="CB398" s="214"/>
      <c r="CC398" s="214"/>
      <c r="CD398" s="214"/>
      <c r="CE398" s="214"/>
      <c r="CF398" s="214"/>
      <c r="CG398" s="214"/>
      <c r="CH398" s="214"/>
      <c r="CI398" s="214"/>
      <c r="CJ398" s="214"/>
      <c r="CK398" s="214"/>
      <c r="CL398" s="214"/>
      <c r="CM398" s="214"/>
      <c r="CN398" s="214"/>
      <c r="CO398" s="214"/>
      <c r="CP398" s="214"/>
      <c r="CQ398" s="214"/>
      <c r="CR398" s="214"/>
      <c r="CS398" s="214"/>
      <c r="CT398" s="214"/>
      <c r="CU398" s="214"/>
      <c r="CV398" s="214"/>
      <c r="CW398" s="214"/>
      <c r="CX398" s="214"/>
      <c r="CY398" s="214"/>
      <c r="CZ398" s="214"/>
      <c r="DA398" s="214"/>
      <c r="DB398" s="214"/>
      <c r="DC398" s="214"/>
      <c r="DD398" s="214"/>
      <c r="DE398" s="214"/>
      <c r="DF398" s="214"/>
      <c r="DG398" s="214"/>
      <c r="DH398" s="214"/>
      <c r="DI398" s="214"/>
      <c r="DJ398" s="214"/>
      <c r="DK398" s="214"/>
      <c r="DL398" s="214"/>
      <c r="DM398" s="214"/>
      <c r="DN398" s="214"/>
      <c r="DO398" s="214"/>
      <c r="DP398" s="214"/>
      <c r="DQ398" s="214"/>
      <c r="DR398" s="214"/>
      <c r="DS398" s="214"/>
      <c r="DT398" s="214"/>
      <c r="DU398" s="214"/>
      <c r="DV398" s="214"/>
      <c r="DW398" s="214"/>
      <c r="DX398" s="214"/>
      <c r="DY398" s="214"/>
      <c r="DZ398" s="214"/>
      <c r="EA398" s="214"/>
      <c r="EB398" s="214"/>
      <c r="EC398" s="214"/>
    </row>
    <row r="399" spans="21:133" s="226" customFormat="1" x14ac:dyDescent="0.15">
      <c r="U399" s="214"/>
      <c r="V399" s="214"/>
      <c r="W399" s="214"/>
      <c r="X399" s="214"/>
      <c r="Y399" s="214"/>
      <c r="Z399" s="214"/>
      <c r="AA399" s="214"/>
      <c r="AB399" s="214"/>
      <c r="AC399" s="214"/>
      <c r="AD399" s="214"/>
      <c r="AE399" s="214"/>
      <c r="AF399" s="214"/>
      <c r="AG399" s="214"/>
      <c r="AH399" s="214"/>
      <c r="AI399" s="214"/>
      <c r="AJ399" s="214"/>
      <c r="AK399" s="214"/>
      <c r="AL399" s="214"/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  <c r="BI399" s="214"/>
      <c r="BJ399" s="214"/>
      <c r="BK399" s="214"/>
      <c r="BL399" s="214"/>
      <c r="BM399" s="214"/>
      <c r="BN399" s="214"/>
      <c r="BO399" s="214"/>
      <c r="BP399" s="214"/>
      <c r="BQ399" s="214"/>
      <c r="BR399" s="214"/>
      <c r="BS399" s="214"/>
      <c r="BT399" s="214"/>
      <c r="BU399" s="214"/>
      <c r="BV399" s="214"/>
      <c r="BW399" s="214"/>
      <c r="BX399" s="214"/>
      <c r="BY399" s="214"/>
      <c r="BZ399" s="214"/>
      <c r="CA399" s="214"/>
      <c r="CB399" s="214"/>
      <c r="CC399" s="214"/>
      <c r="CD399" s="214"/>
      <c r="CE399" s="214"/>
      <c r="CF399" s="214"/>
      <c r="CG399" s="214"/>
      <c r="CH399" s="214"/>
      <c r="CI399" s="214"/>
      <c r="CJ399" s="214"/>
      <c r="CK399" s="214"/>
      <c r="CL399" s="214"/>
      <c r="CM399" s="214"/>
      <c r="CN399" s="214"/>
      <c r="CO399" s="214"/>
      <c r="CP399" s="214"/>
      <c r="CQ399" s="214"/>
      <c r="CR399" s="214"/>
      <c r="CS399" s="214"/>
      <c r="CT399" s="214"/>
      <c r="CU399" s="214"/>
      <c r="CV399" s="214"/>
      <c r="CW399" s="214"/>
      <c r="CX399" s="214"/>
      <c r="CY399" s="214"/>
      <c r="CZ399" s="214"/>
      <c r="DA399" s="214"/>
      <c r="DB399" s="214"/>
      <c r="DC399" s="214"/>
      <c r="DD399" s="214"/>
      <c r="DE399" s="214"/>
      <c r="DF399" s="214"/>
      <c r="DG399" s="214"/>
      <c r="DH399" s="214"/>
      <c r="DI399" s="214"/>
      <c r="DJ399" s="214"/>
      <c r="DK399" s="214"/>
      <c r="DL399" s="214"/>
      <c r="DM399" s="214"/>
      <c r="DN399" s="214"/>
      <c r="DO399" s="214"/>
      <c r="DP399" s="214"/>
      <c r="DQ399" s="214"/>
      <c r="DR399" s="214"/>
      <c r="DS399" s="214"/>
      <c r="DT399" s="214"/>
      <c r="DU399" s="214"/>
      <c r="DV399" s="214"/>
      <c r="DW399" s="214"/>
      <c r="DX399" s="214"/>
      <c r="DY399" s="214"/>
      <c r="DZ399" s="214"/>
      <c r="EA399" s="214"/>
      <c r="EB399" s="214"/>
      <c r="EC399" s="214"/>
    </row>
    <row r="400" spans="21:133" s="226" customFormat="1" x14ac:dyDescent="0.15">
      <c r="U400" s="214"/>
      <c r="V400" s="214"/>
      <c r="W400" s="214"/>
      <c r="X400" s="214"/>
      <c r="Y400" s="214"/>
      <c r="Z400" s="214"/>
      <c r="AA400" s="214"/>
      <c r="AB400" s="214"/>
      <c r="AC400" s="214"/>
      <c r="AD400" s="214"/>
      <c r="AE400" s="214"/>
      <c r="AF400" s="214"/>
      <c r="AG400" s="214"/>
      <c r="AH400" s="214"/>
      <c r="AI400" s="214"/>
      <c r="AJ400" s="214"/>
      <c r="AK400" s="214"/>
      <c r="AL400" s="214"/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  <c r="BI400" s="214"/>
      <c r="BJ400" s="214"/>
      <c r="BK400" s="214"/>
      <c r="BL400" s="214"/>
      <c r="BM400" s="214"/>
      <c r="BN400" s="214"/>
      <c r="BO400" s="214"/>
      <c r="BP400" s="214"/>
      <c r="BQ400" s="214"/>
      <c r="BR400" s="214"/>
      <c r="BS400" s="214"/>
      <c r="BT400" s="214"/>
      <c r="BU400" s="214"/>
      <c r="BV400" s="214"/>
      <c r="BW400" s="214"/>
      <c r="BX400" s="214"/>
      <c r="BY400" s="214"/>
      <c r="BZ400" s="214"/>
      <c r="CA400" s="214"/>
      <c r="CB400" s="214"/>
      <c r="CC400" s="214"/>
      <c r="CD400" s="214"/>
      <c r="CE400" s="214"/>
      <c r="CF400" s="214"/>
      <c r="CG400" s="214"/>
      <c r="CH400" s="214"/>
      <c r="CI400" s="214"/>
      <c r="CJ400" s="214"/>
      <c r="CK400" s="214"/>
      <c r="CL400" s="214"/>
      <c r="CM400" s="214"/>
      <c r="CN400" s="214"/>
      <c r="CO400" s="214"/>
      <c r="CP400" s="214"/>
      <c r="CQ400" s="214"/>
      <c r="CR400" s="214"/>
      <c r="CS400" s="214"/>
      <c r="CT400" s="214"/>
      <c r="CU400" s="214"/>
      <c r="CV400" s="214"/>
      <c r="CW400" s="214"/>
      <c r="CX400" s="214"/>
      <c r="CY400" s="214"/>
      <c r="CZ400" s="214"/>
      <c r="DA400" s="214"/>
      <c r="DB400" s="214"/>
      <c r="DC400" s="214"/>
      <c r="DD400" s="214"/>
      <c r="DE400" s="214"/>
      <c r="DF400" s="214"/>
      <c r="DG400" s="214"/>
      <c r="DH400" s="214"/>
      <c r="DI400" s="214"/>
      <c r="DJ400" s="214"/>
      <c r="DK400" s="214"/>
      <c r="DL400" s="214"/>
      <c r="DM400" s="214"/>
      <c r="DN400" s="214"/>
      <c r="DO400" s="214"/>
      <c r="DP400" s="214"/>
      <c r="DQ400" s="214"/>
      <c r="DR400" s="214"/>
      <c r="DS400" s="214"/>
      <c r="DT400" s="214"/>
      <c r="DU400" s="214"/>
      <c r="DV400" s="214"/>
      <c r="DW400" s="214"/>
      <c r="DX400" s="214"/>
      <c r="DY400" s="214"/>
      <c r="DZ400" s="214"/>
      <c r="EA400" s="214"/>
      <c r="EB400" s="214"/>
      <c r="EC400" s="214"/>
    </row>
    <row r="401" spans="21:133" s="226" customFormat="1" x14ac:dyDescent="0.15">
      <c r="U401" s="214"/>
      <c r="V401" s="214"/>
      <c r="W401" s="214"/>
      <c r="X401" s="214"/>
      <c r="Y401" s="214"/>
      <c r="Z401" s="214"/>
      <c r="AA401" s="214"/>
      <c r="AB401" s="214"/>
      <c r="AC401" s="214"/>
      <c r="AD401" s="214"/>
      <c r="AE401" s="214"/>
      <c r="AF401" s="214"/>
      <c r="AG401" s="214"/>
      <c r="AH401" s="214"/>
      <c r="AI401" s="214"/>
      <c r="AJ401" s="214"/>
      <c r="AK401" s="214"/>
      <c r="AL401" s="214"/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  <c r="BI401" s="214"/>
      <c r="BJ401" s="214"/>
      <c r="BK401" s="214"/>
      <c r="BL401" s="214"/>
      <c r="BM401" s="214"/>
      <c r="BN401" s="214"/>
      <c r="BO401" s="214"/>
      <c r="BP401" s="214"/>
      <c r="BQ401" s="214"/>
      <c r="BR401" s="214"/>
      <c r="BS401" s="214"/>
      <c r="BT401" s="214"/>
      <c r="BU401" s="214"/>
      <c r="BV401" s="214"/>
      <c r="BW401" s="214"/>
      <c r="BX401" s="214"/>
      <c r="BY401" s="214"/>
      <c r="BZ401" s="214"/>
      <c r="CA401" s="214"/>
      <c r="CB401" s="214"/>
      <c r="CC401" s="214"/>
      <c r="CD401" s="214"/>
      <c r="CE401" s="214"/>
      <c r="CF401" s="214"/>
      <c r="CG401" s="214"/>
      <c r="CH401" s="214"/>
      <c r="CI401" s="214"/>
      <c r="CJ401" s="214"/>
      <c r="CK401" s="214"/>
      <c r="CL401" s="214"/>
      <c r="CM401" s="214"/>
      <c r="CN401" s="214"/>
      <c r="CO401" s="214"/>
      <c r="CP401" s="214"/>
      <c r="CQ401" s="214"/>
      <c r="CR401" s="214"/>
      <c r="CS401" s="214"/>
      <c r="CT401" s="214"/>
      <c r="CU401" s="214"/>
      <c r="CV401" s="214"/>
      <c r="CW401" s="214"/>
      <c r="CX401" s="214"/>
      <c r="CY401" s="214"/>
      <c r="CZ401" s="214"/>
      <c r="DA401" s="214"/>
      <c r="DB401" s="214"/>
      <c r="DC401" s="214"/>
      <c r="DD401" s="214"/>
      <c r="DE401" s="214"/>
      <c r="DF401" s="214"/>
      <c r="DG401" s="214"/>
      <c r="DH401" s="214"/>
      <c r="DI401" s="214"/>
      <c r="DJ401" s="214"/>
      <c r="DK401" s="214"/>
      <c r="DL401" s="214"/>
      <c r="DM401" s="214"/>
      <c r="DN401" s="214"/>
      <c r="DO401" s="214"/>
      <c r="DP401" s="214"/>
      <c r="DQ401" s="214"/>
      <c r="DR401" s="214"/>
      <c r="DS401" s="214"/>
      <c r="DT401" s="214"/>
      <c r="DU401" s="214"/>
      <c r="DV401" s="214"/>
      <c r="DW401" s="214"/>
      <c r="DX401" s="214"/>
      <c r="DY401" s="214"/>
      <c r="DZ401" s="214"/>
      <c r="EA401" s="214"/>
      <c r="EB401" s="214"/>
      <c r="EC401" s="214"/>
    </row>
    <row r="402" spans="21:133" s="226" customFormat="1" x14ac:dyDescent="0.15">
      <c r="U402" s="214"/>
      <c r="V402" s="214"/>
      <c r="W402" s="214"/>
      <c r="X402" s="214"/>
      <c r="Y402" s="214"/>
      <c r="Z402" s="214"/>
      <c r="AA402" s="214"/>
      <c r="AB402" s="214"/>
      <c r="AC402" s="214"/>
      <c r="AD402" s="214"/>
      <c r="AE402" s="214"/>
      <c r="AF402" s="214"/>
      <c r="AG402" s="214"/>
      <c r="AH402" s="214"/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4"/>
      <c r="BN402" s="214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4"/>
      <c r="CJ402" s="214"/>
      <c r="CK402" s="214"/>
      <c r="CL402" s="214"/>
      <c r="CM402" s="214"/>
      <c r="CN402" s="214"/>
      <c r="CO402" s="214"/>
      <c r="CP402" s="214"/>
      <c r="CQ402" s="214"/>
      <c r="CR402" s="214"/>
      <c r="CS402" s="214"/>
      <c r="CT402" s="214"/>
      <c r="CU402" s="214"/>
      <c r="CV402" s="214"/>
      <c r="CW402" s="214"/>
      <c r="CX402" s="214"/>
      <c r="CY402" s="214"/>
      <c r="CZ402" s="214"/>
      <c r="DA402" s="214"/>
      <c r="DB402" s="214"/>
      <c r="DC402" s="214"/>
      <c r="DD402" s="214"/>
      <c r="DE402" s="214"/>
      <c r="DF402" s="214"/>
      <c r="DG402" s="214"/>
      <c r="DH402" s="214"/>
      <c r="DI402" s="214"/>
      <c r="DJ402" s="214"/>
      <c r="DK402" s="214"/>
      <c r="DL402" s="214"/>
      <c r="DM402" s="214"/>
      <c r="DN402" s="214"/>
      <c r="DO402" s="214"/>
      <c r="DP402" s="214"/>
      <c r="DQ402" s="214"/>
      <c r="DR402" s="214"/>
      <c r="DS402" s="214"/>
      <c r="DT402" s="214"/>
      <c r="DU402" s="214"/>
      <c r="DV402" s="214"/>
      <c r="DW402" s="214"/>
      <c r="DX402" s="214"/>
      <c r="DY402" s="214"/>
      <c r="DZ402" s="214"/>
      <c r="EA402" s="214"/>
      <c r="EB402" s="214"/>
      <c r="EC402" s="214"/>
    </row>
    <row r="403" spans="21:133" s="226" customFormat="1" x14ac:dyDescent="0.15">
      <c r="U403" s="214"/>
      <c r="V403" s="214"/>
      <c r="W403" s="214"/>
      <c r="X403" s="214"/>
      <c r="Y403" s="214"/>
      <c r="Z403" s="214"/>
      <c r="AA403" s="214"/>
      <c r="AB403" s="214"/>
      <c r="AC403" s="214"/>
      <c r="AD403" s="214"/>
      <c r="AE403" s="214"/>
      <c r="AF403" s="214"/>
      <c r="AG403" s="214"/>
      <c r="AH403" s="214"/>
      <c r="AI403" s="214"/>
      <c r="AJ403" s="214"/>
      <c r="AK403" s="214"/>
      <c r="AL403" s="214"/>
      <c r="AM403" s="214"/>
      <c r="AN403" s="214"/>
      <c r="AO403" s="214"/>
      <c r="AP403" s="214"/>
      <c r="AQ403" s="214"/>
      <c r="AR403" s="214"/>
      <c r="AS403" s="214"/>
      <c r="AT403" s="214"/>
      <c r="AU403" s="214"/>
      <c r="AV403" s="214"/>
      <c r="AW403" s="214"/>
      <c r="AX403" s="214"/>
      <c r="AY403" s="214"/>
      <c r="AZ403" s="214"/>
      <c r="BA403" s="214"/>
      <c r="BB403" s="214"/>
      <c r="BC403" s="214"/>
      <c r="BD403" s="214"/>
      <c r="BE403" s="214"/>
      <c r="BF403" s="214"/>
      <c r="BG403" s="214"/>
      <c r="BH403" s="214"/>
      <c r="BI403" s="214"/>
      <c r="BJ403" s="214"/>
      <c r="BK403" s="214"/>
      <c r="BL403" s="214"/>
      <c r="BM403" s="214"/>
      <c r="BN403" s="214"/>
      <c r="BO403" s="214"/>
      <c r="BP403" s="214"/>
      <c r="BQ403" s="214"/>
      <c r="BR403" s="214"/>
      <c r="BS403" s="214"/>
      <c r="BT403" s="214"/>
      <c r="BU403" s="214"/>
      <c r="BV403" s="214"/>
      <c r="BW403" s="214"/>
      <c r="BX403" s="214"/>
      <c r="BY403" s="214"/>
      <c r="BZ403" s="214"/>
      <c r="CA403" s="214"/>
      <c r="CB403" s="214"/>
      <c r="CC403" s="214"/>
      <c r="CD403" s="214"/>
      <c r="CE403" s="214"/>
      <c r="CF403" s="214"/>
      <c r="CG403" s="214"/>
      <c r="CH403" s="214"/>
      <c r="CI403" s="214"/>
      <c r="CJ403" s="214"/>
      <c r="CK403" s="214"/>
      <c r="CL403" s="214"/>
      <c r="CM403" s="214"/>
      <c r="CN403" s="214"/>
      <c r="CO403" s="214"/>
      <c r="CP403" s="214"/>
      <c r="CQ403" s="214"/>
      <c r="CR403" s="214"/>
      <c r="CS403" s="214"/>
      <c r="CT403" s="214"/>
      <c r="CU403" s="214"/>
      <c r="CV403" s="214"/>
      <c r="CW403" s="214"/>
      <c r="CX403" s="214"/>
      <c r="CY403" s="214"/>
      <c r="CZ403" s="214"/>
      <c r="DA403" s="214"/>
      <c r="DB403" s="214"/>
      <c r="DC403" s="214"/>
      <c r="DD403" s="214"/>
      <c r="DE403" s="214"/>
      <c r="DF403" s="214"/>
      <c r="DG403" s="214"/>
      <c r="DH403" s="214"/>
      <c r="DI403" s="214"/>
      <c r="DJ403" s="214"/>
      <c r="DK403" s="214"/>
      <c r="DL403" s="214"/>
      <c r="DM403" s="214"/>
      <c r="DN403" s="214"/>
      <c r="DO403" s="214"/>
      <c r="DP403" s="214"/>
      <c r="DQ403" s="214"/>
      <c r="DR403" s="214"/>
      <c r="DS403" s="214"/>
      <c r="DT403" s="214"/>
      <c r="DU403" s="214"/>
      <c r="DV403" s="214"/>
      <c r="DW403" s="214"/>
      <c r="DX403" s="214"/>
      <c r="DY403" s="214"/>
      <c r="DZ403" s="214"/>
      <c r="EA403" s="214"/>
      <c r="EB403" s="214"/>
      <c r="EC403" s="214"/>
    </row>
    <row r="404" spans="21:133" s="226" customFormat="1" x14ac:dyDescent="0.15">
      <c r="U404" s="214"/>
      <c r="V404" s="214"/>
      <c r="W404" s="214"/>
      <c r="X404" s="214"/>
      <c r="Y404" s="214"/>
      <c r="Z404" s="214"/>
      <c r="AA404" s="214"/>
      <c r="AB404" s="214"/>
      <c r="AC404" s="214"/>
      <c r="AD404" s="214"/>
      <c r="AE404" s="214"/>
      <c r="AF404" s="214"/>
      <c r="AG404" s="214"/>
      <c r="AH404" s="214"/>
      <c r="AI404" s="214"/>
      <c r="AJ404" s="214"/>
      <c r="AK404" s="214"/>
      <c r="AL404" s="214"/>
      <c r="AM404" s="214"/>
      <c r="AN404" s="214"/>
      <c r="AO404" s="214"/>
      <c r="AP404" s="214"/>
      <c r="AQ404" s="214"/>
      <c r="AR404" s="214"/>
      <c r="AS404" s="214"/>
      <c r="AT404" s="214"/>
      <c r="AU404" s="214"/>
      <c r="AV404" s="214"/>
      <c r="AW404" s="214"/>
      <c r="AX404" s="214"/>
      <c r="AY404" s="214"/>
      <c r="AZ404" s="214"/>
      <c r="BA404" s="214"/>
      <c r="BB404" s="214"/>
      <c r="BC404" s="214"/>
      <c r="BD404" s="214"/>
      <c r="BE404" s="214"/>
      <c r="BF404" s="214"/>
      <c r="BG404" s="214"/>
      <c r="BH404" s="214"/>
      <c r="BI404" s="214"/>
      <c r="BJ404" s="214"/>
      <c r="BK404" s="214"/>
      <c r="BL404" s="214"/>
      <c r="BM404" s="214"/>
      <c r="BN404" s="214"/>
      <c r="BO404" s="214"/>
      <c r="BP404" s="214"/>
      <c r="BQ404" s="214"/>
      <c r="BR404" s="214"/>
      <c r="BS404" s="214"/>
      <c r="BT404" s="214"/>
      <c r="BU404" s="214"/>
      <c r="BV404" s="214"/>
      <c r="BW404" s="214"/>
      <c r="BX404" s="214"/>
      <c r="BY404" s="214"/>
      <c r="BZ404" s="214"/>
      <c r="CA404" s="214"/>
      <c r="CB404" s="214"/>
      <c r="CC404" s="214"/>
      <c r="CD404" s="214"/>
      <c r="CE404" s="214"/>
      <c r="CF404" s="214"/>
      <c r="CG404" s="214"/>
      <c r="CH404" s="214"/>
      <c r="CI404" s="214"/>
      <c r="CJ404" s="214"/>
      <c r="CK404" s="214"/>
      <c r="CL404" s="214"/>
      <c r="CM404" s="214"/>
      <c r="CN404" s="214"/>
      <c r="CO404" s="214"/>
      <c r="CP404" s="214"/>
      <c r="CQ404" s="214"/>
      <c r="CR404" s="214"/>
      <c r="CS404" s="214"/>
      <c r="CT404" s="214"/>
      <c r="CU404" s="214"/>
      <c r="CV404" s="214"/>
      <c r="CW404" s="214"/>
      <c r="CX404" s="214"/>
      <c r="CY404" s="214"/>
      <c r="CZ404" s="214"/>
      <c r="DA404" s="214"/>
      <c r="DB404" s="214"/>
      <c r="DC404" s="214"/>
      <c r="DD404" s="214"/>
      <c r="DE404" s="214"/>
      <c r="DF404" s="214"/>
      <c r="DG404" s="214"/>
      <c r="DH404" s="214"/>
      <c r="DI404" s="214"/>
      <c r="DJ404" s="214"/>
      <c r="DK404" s="214"/>
      <c r="DL404" s="214"/>
      <c r="DM404" s="214"/>
      <c r="DN404" s="214"/>
      <c r="DO404" s="214"/>
      <c r="DP404" s="214"/>
      <c r="DQ404" s="214"/>
      <c r="DR404" s="214"/>
      <c r="DS404" s="214"/>
      <c r="DT404" s="214"/>
      <c r="DU404" s="214"/>
      <c r="DV404" s="214"/>
      <c r="DW404" s="214"/>
      <c r="DX404" s="214"/>
      <c r="DY404" s="214"/>
      <c r="DZ404" s="214"/>
      <c r="EA404" s="214"/>
      <c r="EB404" s="214"/>
      <c r="EC404" s="214"/>
    </row>
    <row r="405" spans="21:133" s="226" customFormat="1" x14ac:dyDescent="0.15">
      <c r="U405" s="214"/>
      <c r="V405" s="214"/>
      <c r="W405" s="214"/>
      <c r="X405" s="214"/>
      <c r="Y405" s="214"/>
      <c r="Z405" s="214"/>
      <c r="AA405" s="214"/>
      <c r="AB405" s="214"/>
      <c r="AC405" s="214"/>
      <c r="AD405" s="214"/>
      <c r="AE405" s="214"/>
      <c r="AF405" s="214"/>
      <c r="AG405" s="214"/>
      <c r="AH405" s="214"/>
      <c r="AI405" s="214"/>
      <c r="AJ405" s="214"/>
      <c r="AK405" s="214"/>
      <c r="AL405" s="214"/>
      <c r="AM405" s="214"/>
      <c r="AN405" s="214"/>
      <c r="AO405" s="214"/>
      <c r="AP405" s="214"/>
      <c r="AQ405" s="214"/>
      <c r="AR405" s="214"/>
      <c r="AS405" s="214"/>
      <c r="AT405" s="214"/>
      <c r="AU405" s="214"/>
      <c r="AV405" s="214"/>
      <c r="AW405" s="214"/>
      <c r="AX405" s="214"/>
      <c r="AY405" s="214"/>
      <c r="AZ405" s="214"/>
      <c r="BA405" s="214"/>
      <c r="BB405" s="214"/>
      <c r="BC405" s="214"/>
      <c r="BD405" s="214"/>
      <c r="BE405" s="214"/>
      <c r="BF405" s="214"/>
      <c r="BG405" s="214"/>
      <c r="BH405" s="214"/>
      <c r="BI405" s="214"/>
      <c r="BJ405" s="214"/>
      <c r="BK405" s="214"/>
      <c r="BL405" s="214"/>
      <c r="BM405" s="214"/>
      <c r="BN405" s="214"/>
      <c r="BO405" s="214"/>
      <c r="BP405" s="214"/>
      <c r="BQ405" s="214"/>
      <c r="BR405" s="214"/>
      <c r="BS405" s="214"/>
      <c r="BT405" s="214"/>
      <c r="BU405" s="214"/>
      <c r="BV405" s="214"/>
      <c r="BW405" s="214"/>
      <c r="BX405" s="214"/>
      <c r="BY405" s="214"/>
      <c r="BZ405" s="214"/>
      <c r="CA405" s="214"/>
      <c r="CB405" s="214"/>
      <c r="CC405" s="214"/>
      <c r="CD405" s="214"/>
      <c r="CE405" s="214"/>
      <c r="CF405" s="214"/>
      <c r="CG405" s="214"/>
      <c r="CH405" s="214"/>
      <c r="CI405" s="214"/>
      <c r="CJ405" s="214"/>
      <c r="CK405" s="214"/>
      <c r="CL405" s="214"/>
      <c r="CM405" s="214"/>
      <c r="CN405" s="214"/>
      <c r="CO405" s="214"/>
      <c r="CP405" s="214"/>
      <c r="CQ405" s="214"/>
      <c r="CR405" s="214"/>
      <c r="CS405" s="214"/>
      <c r="CT405" s="214"/>
      <c r="CU405" s="214"/>
      <c r="CV405" s="214"/>
      <c r="CW405" s="214"/>
      <c r="CX405" s="214"/>
      <c r="CY405" s="214"/>
      <c r="CZ405" s="214"/>
      <c r="DA405" s="214"/>
      <c r="DB405" s="214"/>
      <c r="DC405" s="214"/>
      <c r="DD405" s="214"/>
      <c r="DE405" s="214"/>
      <c r="DF405" s="214"/>
      <c r="DG405" s="214"/>
      <c r="DH405" s="214"/>
      <c r="DI405" s="214"/>
      <c r="DJ405" s="214"/>
      <c r="DK405" s="214"/>
      <c r="DL405" s="214"/>
      <c r="DM405" s="214"/>
      <c r="DN405" s="214"/>
      <c r="DO405" s="214"/>
      <c r="DP405" s="214"/>
      <c r="DQ405" s="214"/>
      <c r="DR405" s="214"/>
      <c r="DS405" s="214"/>
      <c r="DT405" s="214"/>
      <c r="DU405" s="214"/>
      <c r="DV405" s="214"/>
      <c r="DW405" s="214"/>
      <c r="DX405" s="214"/>
      <c r="DY405" s="214"/>
      <c r="DZ405" s="214"/>
      <c r="EA405" s="214"/>
      <c r="EB405" s="214"/>
      <c r="EC405" s="214"/>
    </row>
    <row r="406" spans="21:133" s="226" customFormat="1" x14ac:dyDescent="0.15">
      <c r="U406" s="214"/>
      <c r="V406" s="214"/>
      <c r="W406" s="214"/>
      <c r="X406" s="214"/>
      <c r="Y406" s="214"/>
      <c r="Z406" s="214"/>
      <c r="AA406" s="214"/>
      <c r="AB406" s="214"/>
      <c r="AC406" s="214"/>
      <c r="AD406" s="214"/>
      <c r="AE406" s="214"/>
      <c r="AF406" s="214"/>
      <c r="AG406" s="214"/>
      <c r="AH406" s="214"/>
      <c r="AI406" s="214"/>
      <c r="AJ406" s="214"/>
      <c r="AK406" s="214"/>
      <c r="AL406" s="214"/>
      <c r="AM406" s="214"/>
      <c r="AN406" s="214"/>
      <c r="AO406" s="214"/>
      <c r="AP406" s="214"/>
      <c r="AQ406" s="214"/>
      <c r="AR406" s="214"/>
      <c r="AS406" s="214"/>
      <c r="AT406" s="214"/>
      <c r="AU406" s="214"/>
      <c r="AV406" s="214"/>
      <c r="AW406" s="214"/>
      <c r="AX406" s="214"/>
      <c r="AY406" s="214"/>
      <c r="AZ406" s="214"/>
      <c r="BA406" s="214"/>
      <c r="BB406" s="214"/>
      <c r="BC406" s="214"/>
      <c r="BD406" s="214"/>
      <c r="BE406" s="214"/>
      <c r="BF406" s="214"/>
      <c r="BG406" s="214"/>
      <c r="BH406" s="214"/>
      <c r="BI406" s="214"/>
      <c r="BJ406" s="214"/>
      <c r="BK406" s="214"/>
      <c r="BL406" s="214"/>
      <c r="BM406" s="214"/>
      <c r="BN406" s="214"/>
      <c r="BO406" s="214"/>
      <c r="BP406" s="214"/>
      <c r="BQ406" s="214"/>
      <c r="BR406" s="214"/>
      <c r="BS406" s="214"/>
      <c r="BT406" s="214"/>
      <c r="BU406" s="214"/>
      <c r="BV406" s="214"/>
      <c r="BW406" s="214"/>
      <c r="BX406" s="214"/>
      <c r="BY406" s="214"/>
      <c r="BZ406" s="214"/>
      <c r="CA406" s="214"/>
      <c r="CB406" s="214"/>
      <c r="CC406" s="214"/>
      <c r="CD406" s="214"/>
      <c r="CE406" s="214"/>
      <c r="CF406" s="214"/>
      <c r="CG406" s="214"/>
      <c r="CH406" s="214"/>
      <c r="CI406" s="214"/>
      <c r="CJ406" s="214"/>
      <c r="CK406" s="214"/>
      <c r="CL406" s="214"/>
      <c r="CM406" s="214"/>
      <c r="CN406" s="214"/>
      <c r="CO406" s="214"/>
      <c r="CP406" s="214"/>
      <c r="CQ406" s="214"/>
      <c r="CR406" s="214"/>
      <c r="CS406" s="214"/>
      <c r="CT406" s="214"/>
      <c r="CU406" s="214"/>
      <c r="CV406" s="214"/>
      <c r="CW406" s="214"/>
      <c r="CX406" s="214"/>
      <c r="CY406" s="214"/>
      <c r="CZ406" s="214"/>
      <c r="DA406" s="214"/>
      <c r="DB406" s="214"/>
      <c r="DC406" s="214"/>
      <c r="DD406" s="214"/>
      <c r="DE406" s="214"/>
      <c r="DF406" s="214"/>
      <c r="DG406" s="214"/>
      <c r="DH406" s="214"/>
      <c r="DI406" s="214"/>
      <c r="DJ406" s="214"/>
      <c r="DK406" s="214"/>
      <c r="DL406" s="214"/>
      <c r="DM406" s="214"/>
      <c r="DN406" s="214"/>
      <c r="DO406" s="214"/>
      <c r="DP406" s="214"/>
      <c r="DQ406" s="214"/>
      <c r="DR406" s="214"/>
      <c r="DS406" s="214"/>
      <c r="DT406" s="214"/>
      <c r="DU406" s="214"/>
      <c r="DV406" s="214"/>
      <c r="DW406" s="214"/>
      <c r="DX406" s="214"/>
      <c r="DY406" s="214"/>
      <c r="DZ406" s="214"/>
      <c r="EA406" s="214"/>
      <c r="EB406" s="214"/>
      <c r="EC406" s="214"/>
    </row>
    <row r="407" spans="21:133" s="226" customFormat="1" x14ac:dyDescent="0.15">
      <c r="U407" s="214"/>
      <c r="V407" s="214"/>
      <c r="W407" s="214"/>
      <c r="X407" s="214"/>
      <c r="Y407" s="214"/>
      <c r="Z407" s="214"/>
      <c r="AA407" s="214"/>
      <c r="AB407" s="214"/>
      <c r="AC407" s="214"/>
      <c r="AD407" s="214"/>
      <c r="AE407" s="214"/>
      <c r="AF407" s="214"/>
      <c r="AG407" s="214"/>
      <c r="AH407" s="214"/>
      <c r="AI407" s="214"/>
      <c r="AJ407" s="214"/>
      <c r="AK407" s="214"/>
      <c r="AL407" s="214"/>
      <c r="AM407" s="214"/>
      <c r="AN407" s="214"/>
      <c r="AO407" s="214"/>
      <c r="AP407" s="214"/>
      <c r="AQ407" s="214"/>
      <c r="AR407" s="214"/>
      <c r="AS407" s="214"/>
      <c r="AT407" s="214"/>
      <c r="AU407" s="214"/>
      <c r="AV407" s="214"/>
      <c r="AW407" s="214"/>
      <c r="AX407" s="214"/>
      <c r="AY407" s="214"/>
      <c r="AZ407" s="214"/>
      <c r="BA407" s="214"/>
      <c r="BB407" s="214"/>
      <c r="BC407" s="214"/>
      <c r="BD407" s="214"/>
      <c r="BE407" s="214"/>
      <c r="BF407" s="214"/>
      <c r="BG407" s="214"/>
      <c r="BH407" s="214"/>
      <c r="BI407" s="214"/>
      <c r="BJ407" s="214"/>
      <c r="BK407" s="214"/>
      <c r="BL407" s="214"/>
      <c r="BM407" s="214"/>
      <c r="BN407" s="214"/>
      <c r="BO407" s="214"/>
      <c r="BP407" s="214"/>
      <c r="BQ407" s="214"/>
      <c r="BR407" s="214"/>
      <c r="BS407" s="214"/>
      <c r="BT407" s="214"/>
      <c r="BU407" s="214"/>
      <c r="BV407" s="214"/>
      <c r="BW407" s="214"/>
      <c r="BX407" s="214"/>
      <c r="BY407" s="214"/>
      <c r="BZ407" s="214"/>
      <c r="CA407" s="214"/>
      <c r="CB407" s="214"/>
      <c r="CC407" s="214"/>
      <c r="CD407" s="214"/>
      <c r="CE407" s="214"/>
      <c r="CF407" s="214"/>
      <c r="CG407" s="214"/>
      <c r="CH407" s="214"/>
      <c r="CI407" s="214"/>
      <c r="CJ407" s="214"/>
      <c r="CK407" s="214"/>
      <c r="CL407" s="214"/>
      <c r="CM407" s="214"/>
      <c r="CN407" s="214"/>
      <c r="CO407" s="214"/>
      <c r="CP407" s="214"/>
      <c r="CQ407" s="214"/>
      <c r="CR407" s="214"/>
      <c r="CS407" s="214"/>
      <c r="CT407" s="214"/>
      <c r="CU407" s="214"/>
      <c r="CV407" s="214"/>
      <c r="CW407" s="214"/>
      <c r="CX407" s="214"/>
      <c r="CY407" s="214"/>
      <c r="CZ407" s="214"/>
      <c r="DA407" s="214"/>
      <c r="DB407" s="214"/>
      <c r="DC407" s="214"/>
      <c r="DD407" s="214"/>
      <c r="DE407" s="214"/>
      <c r="DF407" s="214"/>
      <c r="DG407" s="214"/>
      <c r="DH407" s="214"/>
      <c r="DI407" s="214"/>
      <c r="DJ407" s="214"/>
      <c r="DK407" s="214"/>
      <c r="DL407" s="214"/>
      <c r="DM407" s="214"/>
      <c r="DN407" s="214"/>
      <c r="DO407" s="214"/>
      <c r="DP407" s="214"/>
      <c r="DQ407" s="214"/>
      <c r="DR407" s="214"/>
      <c r="DS407" s="214"/>
      <c r="DT407" s="214"/>
      <c r="DU407" s="214"/>
      <c r="DV407" s="214"/>
      <c r="DW407" s="214"/>
      <c r="DX407" s="214"/>
      <c r="DY407" s="214"/>
      <c r="DZ407" s="214"/>
      <c r="EA407" s="214"/>
      <c r="EB407" s="214"/>
      <c r="EC407" s="214"/>
    </row>
    <row r="408" spans="21:133" s="226" customFormat="1" x14ac:dyDescent="0.15">
      <c r="U408" s="214"/>
      <c r="V408" s="214"/>
      <c r="W408" s="214"/>
      <c r="X408" s="214"/>
      <c r="Y408" s="214"/>
      <c r="Z408" s="214"/>
      <c r="AA408" s="214"/>
      <c r="AB408" s="214"/>
      <c r="AC408" s="214"/>
      <c r="AD408" s="214"/>
      <c r="AE408" s="214"/>
      <c r="AF408" s="214"/>
      <c r="AG408" s="214"/>
      <c r="AH408" s="214"/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  <c r="BI408" s="214"/>
      <c r="BJ408" s="214"/>
      <c r="BK408" s="214"/>
      <c r="BL408" s="214"/>
      <c r="BM408" s="214"/>
      <c r="BN408" s="214"/>
      <c r="BO408" s="214"/>
      <c r="BP408" s="214"/>
      <c r="BQ408" s="214"/>
      <c r="BR408" s="214"/>
      <c r="BS408" s="214"/>
      <c r="BT408" s="214"/>
      <c r="BU408" s="214"/>
      <c r="BV408" s="214"/>
      <c r="BW408" s="214"/>
      <c r="BX408" s="214"/>
      <c r="BY408" s="214"/>
      <c r="BZ408" s="214"/>
      <c r="CA408" s="214"/>
      <c r="CB408" s="214"/>
      <c r="CC408" s="214"/>
      <c r="CD408" s="214"/>
      <c r="CE408" s="214"/>
      <c r="CF408" s="214"/>
      <c r="CG408" s="214"/>
      <c r="CH408" s="214"/>
      <c r="CI408" s="214"/>
      <c r="CJ408" s="214"/>
      <c r="CK408" s="214"/>
      <c r="CL408" s="214"/>
      <c r="CM408" s="214"/>
      <c r="CN408" s="214"/>
      <c r="CO408" s="214"/>
      <c r="CP408" s="214"/>
      <c r="CQ408" s="214"/>
      <c r="CR408" s="214"/>
      <c r="CS408" s="214"/>
      <c r="CT408" s="214"/>
      <c r="CU408" s="214"/>
      <c r="CV408" s="214"/>
      <c r="CW408" s="214"/>
      <c r="CX408" s="214"/>
      <c r="CY408" s="214"/>
      <c r="CZ408" s="214"/>
      <c r="DA408" s="214"/>
      <c r="DB408" s="214"/>
      <c r="DC408" s="214"/>
      <c r="DD408" s="214"/>
      <c r="DE408" s="214"/>
      <c r="DF408" s="214"/>
      <c r="DG408" s="214"/>
      <c r="DH408" s="214"/>
      <c r="DI408" s="214"/>
      <c r="DJ408" s="214"/>
      <c r="DK408" s="214"/>
      <c r="DL408" s="214"/>
      <c r="DM408" s="214"/>
      <c r="DN408" s="214"/>
      <c r="DO408" s="214"/>
      <c r="DP408" s="214"/>
      <c r="DQ408" s="214"/>
      <c r="DR408" s="214"/>
      <c r="DS408" s="214"/>
      <c r="DT408" s="214"/>
      <c r="DU408" s="214"/>
      <c r="DV408" s="214"/>
      <c r="DW408" s="214"/>
      <c r="DX408" s="214"/>
      <c r="DY408" s="214"/>
      <c r="DZ408" s="214"/>
      <c r="EA408" s="214"/>
      <c r="EB408" s="214"/>
      <c r="EC408" s="214"/>
    </row>
    <row r="409" spans="21:133" s="226" customFormat="1" x14ac:dyDescent="0.15">
      <c r="U409" s="214"/>
      <c r="V409" s="214"/>
      <c r="W409" s="214"/>
      <c r="X409" s="214"/>
      <c r="Y409" s="214"/>
      <c r="Z409" s="214"/>
      <c r="AA409" s="214"/>
      <c r="AB409" s="214"/>
      <c r="AC409" s="214"/>
      <c r="AD409" s="214"/>
      <c r="AE409" s="214"/>
      <c r="AF409" s="214"/>
      <c r="AG409" s="214"/>
      <c r="AH409" s="214"/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  <c r="BI409" s="214"/>
      <c r="BJ409" s="214"/>
      <c r="BK409" s="214"/>
      <c r="BL409" s="214"/>
      <c r="BM409" s="214"/>
      <c r="BN409" s="214"/>
      <c r="BO409" s="214"/>
      <c r="BP409" s="214"/>
      <c r="BQ409" s="214"/>
      <c r="BR409" s="214"/>
      <c r="BS409" s="214"/>
      <c r="BT409" s="214"/>
      <c r="BU409" s="214"/>
      <c r="BV409" s="214"/>
      <c r="BW409" s="214"/>
      <c r="BX409" s="214"/>
      <c r="BY409" s="214"/>
      <c r="BZ409" s="214"/>
      <c r="CA409" s="214"/>
      <c r="CB409" s="214"/>
      <c r="CC409" s="214"/>
      <c r="CD409" s="214"/>
      <c r="CE409" s="214"/>
      <c r="CF409" s="214"/>
      <c r="CG409" s="214"/>
      <c r="CH409" s="214"/>
      <c r="CI409" s="214"/>
      <c r="CJ409" s="214"/>
      <c r="CK409" s="214"/>
      <c r="CL409" s="214"/>
      <c r="CM409" s="214"/>
      <c r="CN409" s="214"/>
      <c r="CO409" s="214"/>
      <c r="CP409" s="214"/>
      <c r="CQ409" s="214"/>
      <c r="CR409" s="214"/>
      <c r="CS409" s="214"/>
      <c r="CT409" s="214"/>
      <c r="CU409" s="214"/>
      <c r="CV409" s="214"/>
      <c r="CW409" s="214"/>
      <c r="CX409" s="214"/>
      <c r="CY409" s="214"/>
      <c r="CZ409" s="214"/>
      <c r="DA409" s="214"/>
      <c r="DB409" s="214"/>
      <c r="DC409" s="214"/>
      <c r="DD409" s="214"/>
      <c r="DE409" s="214"/>
      <c r="DF409" s="214"/>
      <c r="DG409" s="214"/>
      <c r="DH409" s="214"/>
      <c r="DI409" s="214"/>
      <c r="DJ409" s="214"/>
      <c r="DK409" s="214"/>
      <c r="DL409" s="214"/>
      <c r="DM409" s="214"/>
      <c r="DN409" s="214"/>
      <c r="DO409" s="214"/>
      <c r="DP409" s="214"/>
      <c r="DQ409" s="214"/>
      <c r="DR409" s="214"/>
      <c r="DS409" s="214"/>
      <c r="DT409" s="214"/>
      <c r="DU409" s="214"/>
      <c r="DV409" s="214"/>
      <c r="DW409" s="214"/>
      <c r="DX409" s="214"/>
      <c r="DY409" s="214"/>
      <c r="DZ409" s="214"/>
      <c r="EA409" s="214"/>
      <c r="EB409" s="214"/>
      <c r="EC409" s="214"/>
    </row>
    <row r="410" spans="21:133" s="226" customFormat="1" x14ac:dyDescent="0.15">
      <c r="U410" s="214"/>
      <c r="V410" s="214"/>
      <c r="W410" s="214"/>
      <c r="X410" s="214"/>
      <c r="Y410" s="214"/>
      <c r="Z410" s="214"/>
      <c r="AA410" s="214"/>
      <c r="AB410" s="214"/>
      <c r="AC410" s="214"/>
      <c r="AD410" s="214"/>
      <c r="AE410" s="214"/>
      <c r="AF410" s="214"/>
      <c r="AG410" s="214"/>
      <c r="AH410" s="214"/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  <c r="BI410" s="214"/>
      <c r="BJ410" s="214"/>
      <c r="BK410" s="214"/>
      <c r="BL410" s="214"/>
      <c r="BM410" s="214"/>
      <c r="BN410" s="214"/>
      <c r="BO410" s="214"/>
      <c r="BP410" s="214"/>
      <c r="BQ410" s="214"/>
      <c r="BR410" s="214"/>
      <c r="BS410" s="214"/>
      <c r="BT410" s="214"/>
      <c r="BU410" s="214"/>
      <c r="BV410" s="214"/>
      <c r="BW410" s="214"/>
      <c r="BX410" s="214"/>
      <c r="BY410" s="214"/>
      <c r="BZ410" s="214"/>
      <c r="CA410" s="214"/>
      <c r="CB410" s="214"/>
      <c r="CC410" s="214"/>
      <c r="CD410" s="214"/>
      <c r="CE410" s="214"/>
      <c r="CF410" s="214"/>
      <c r="CG410" s="214"/>
      <c r="CH410" s="214"/>
      <c r="CI410" s="214"/>
      <c r="CJ410" s="214"/>
      <c r="CK410" s="214"/>
      <c r="CL410" s="214"/>
      <c r="CM410" s="214"/>
      <c r="CN410" s="214"/>
      <c r="CO410" s="214"/>
      <c r="CP410" s="214"/>
      <c r="CQ410" s="214"/>
      <c r="CR410" s="214"/>
      <c r="CS410" s="214"/>
      <c r="CT410" s="214"/>
      <c r="CU410" s="214"/>
      <c r="CV410" s="214"/>
      <c r="CW410" s="214"/>
      <c r="CX410" s="214"/>
      <c r="CY410" s="214"/>
      <c r="CZ410" s="214"/>
      <c r="DA410" s="214"/>
      <c r="DB410" s="214"/>
      <c r="DC410" s="214"/>
      <c r="DD410" s="214"/>
      <c r="DE410" s="214"/>
      <c r="DF410" s="214"/>
      <c r="DG410" s="214"/>
      <c r="DH410" s="214"/>
      <c r="DI410" s="214"/>
      <c r="DJ410" s="214"/>
      <c r="DK410" s="214"/>
      <c r="DL410" s="214"/>
      <c r="DM410" s="214"/>
      <c r="DN410" s="214"/>
      <c r="DO410" s="214"/>
      <c r="DP410" s="214"/>
      <c r="DQ410" s="214"/>
      <c r="DR410" s="214"/>
      <c r="DS410" s="214"/>
      <c r="DT410" s="214"/>
      <c r="DU410" s="214"/>
      <c r="DV410" s="214"/>
      <c r="DW410" s="214"/>
      <c r="DX410" s="214"/>
      <c r="DY410" s="214"/>
      <c r="DZ410" s="214"/>
      <c r="EA410" s="214"/>
      <c r="EB410" s="214"/>
      <c r="EC410" s="214"/>
    </row>
    <row r="411" spans="21:133" s="226" customFormat="1" x14ac:dyDescent="0.15">
      <c r="U411" s="214"/>
      <c r="V411" s="214"/>
      <c r="W411" s="214"/>
      <c r="X411" s="214"/>
      <c r="Y411" s="214"/>
      <c r="Z411" s="214"/>
      <c r="AA411" s="214"/>
      <c r="AB411" s="214"/>
      <c r="AC411" s="214"/>
      <c r="AD411" s="214"/>
      <c r="AE411" s="214"/>
      <c r="AF411" s="214"/>
      <c r="AG411" s="214"/>
      <c r="AH411" s="214"/>
      <c r="AI411" s="214"/>
      <c r="AJ411" s="214"/>
      <c r="AK411" s="214"/>
      <c r="AL411" s="214"/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  <c r="BI411" s="214"/>
      <c r="BJ411" s="214"/>
      <c r="BK411" s="214"/>
      <c r="BL411" s="214"/>
      <c r="BM411" s="214"/>
      <c r="BN411" s="214"/>
      <c r="BO411" s="214"/>
      <c r="BP411" s="214"/>
      <c r="BQ411" s="214"/>
      <c r="BR411" s="214"/>
      <c r="BS411" s="214"/>
      <c r="BT411" s="214"/>
      <c r="BU411" s="214"/>
      <c r="BV411" s="214"/>
      <c r="BW411" s="214"/>
      <c r="BX411" s="214"/>
      <c r="BY411" s="214"/>
      <c r="BZ411" s="214"/>
      <c r="CA411" s="214"/>
      <c r="CB411" s="214"/>
      <c r="CC411" s="214"/>
      <c r="CD411" s="214"/>
      <c r="CE411" s="214"/>
      <c r="CF411" s="214"/>
      <c r="CG411" s="214"/>
      <c r="CH411" s="214"/>
      <c r="CI411" s="214"/>
      <c r="CJ411" s="214"/>
      <c r="CK411" s="214"/>
      <c r="CL411" s="214"/>
      <c r="CM411" s="214"/>
      <c r="CN411" s="214"/>
      <c r="CO411" s="214"/>
      <c r="CP411" s="214"/>
      <c r="CQ411" s="214"/>
      <c r="CR411" s="214"/>
      <c r="CS411" s="214"/>
      <c r="CT411" s="214"/>
      <c r="CU411" s="214"/>
      <c r="CV411" s="214"/>
      <c r="CW411" s="214"/>
      <c r="CX411" s="214"/>
      <c r="CY411" s="214"/>
      <c r="CZ411" s="214"/>
      <c r="DA411" s="214"/>
      <c r="DB411" s="214"/>
      <c r="DC411" s="214"/>
      <c r="DD411" s="214"/>
      <c r="DE411" s="214"/>
      <c r="DF411" s="214"/>
      <c r="DG411" s="214"/>
      <c r="DH411" s="214"/>
      <c r="DI411" s="214"/>
      <c r="DJ411" s="214"/>
      <c r="DK411" s="214"/>
      <c r="DL411" s="214"/>
      <c r="DM411" s="214"/>
      <c r="DN411" s="214"/>
      <c r="DO411" s="214"/>
      <c r="DP411" s="214"/>
      <c r="DQ411" s="214"/>
      <c r="DR411" s="214"/>
      <c r="DS411" s="214"/>
      <c r="DT411" s="214"/>
      <c r="DU411" s="214"/>
      <c r="DV411" s="214"/>
      <c r="DW411" s="214"/>
      <c r="DX411" s="214"/>
      <c r="DY411" s="214"/>
      <c r="DZ411" s="214"/>
      <c r="EA411" s="214"/>
      <c r="EB411" s="214"/>
      <c r="EC411" s="214"/>
    </row>
    <row r="412" spans="21:133" s="226" customFormat="1" x14ac:dyDescent="0.15">
      <c r="U412" s="214"/>
      <c r="V412" s="214"/>
      <c r="W412" s="214"/>
      <c r="X412" s="214"/>
      <c r="Y412" s="214"/>
      <c r="Z412" s="214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4"/>
      <c r="BN412" s="214"/>
      <c r="BO412" s="214"/>
      <c r="BP412" s="214"/>
      <c r="BQ412" s="214"/>
      <c r="BR412" s="214"/>
      <c r="BS412" s="214"/>
      <c r="BT412" s="214"/>
      <c r="BU412" s="214"/>
      <c r="BV412" s="214"/>
      <c r="BW412" s="214"/>
      <c r="BX412" s="214"/>
      <c r="BY412" s="214"/>
      <c r="BZ412" s="214"/>
      <c r="CA412" s="214"/>
      <c r="CB412" s="214"/>
      <c r="CC412" s="214"/>
      <c r="CD412" s="214"/>
      <c r="CE412" s="214"/>
      <c r="CF412" s="214"/>
      <c r="CG412" s="214"/>
      <c r="CH412" s="214"/>
      <c r="CI412" s="214"/>
      <c r="CJ412" s="214"/>
      <c r="CK412" s="214"/>
      <c r="CL412" s="214"/>
      <c r="CM412" s="214"/>
      <c r="CN412" s="214"/>
      <c r="CO412" s="214"/>
      <c r="CP412" s="214"/>
      <c r="CQ412" s="214"/>
      <c r="CR412" s="214"/>
      <c r="CS412" s="214"/>
      <c r="CT412" s="214"/>
      <c r="CU412" s="214"/>
      <c r="CV412" s="214"/>
      <c r="CW412" s="214"/>
      <c r="CX412" s="214"/>
      <c r="CY412" s="214"/>
      <c r="CZ412" s="214"/>
      <c r="DA412" s="214"/>
      <c r="DB412" s="214"/>
      <c r="DC412" s="214"/>
      <c r="DD412" s="214"/>
      <c r="DE412" s="214"/>
      <c r="DF412" s="214"/>
      <c r="DG412" s="214"/>
      <c r="DH412" s="214"/>
      <c r="DI412" s="214"/>
      <c r="DJ412" s="214"/>
      <c r="DK412" s="214"/>
      <c r="DL412" s="214"/>
      <c r="DM412" s="214"/>
      <c r="DN412" s="214"/>
      <c r="DO412" s="214"/>
      <c r="DP412" s="214"/>
      <c r="DQ412" s="214"/>
      <c r="DR412" s="214"/>
      <c r="DS412" s="214"/>
      <c r="DT412" s="214"/>
      <c r="DU412" s="214"/>
      <c r="DV412" s="214"/>
      <c r="DW412" s="214"/>
      <c r="DX412" s="214"/>
      <c r="DY412" s="214"/>
      <c r="DZ412" s="214"/>
      <c r="EA412" s="214"/>
      <c r="EB412" s="214"/>
      <c r="EC412" s="214"/>
    </row>
    <row r="413" spans="21:133" s="226" customFormat="1" x14ac:dyDescent="0.15">
      <c r="U413" s="214"/>
      <c r="V413" s="214"/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14"/>
      <c r="BN413" s="214"/>
      <c r="BO413" s="214"/>
      <c r="BP413" s="214"/>
      <c r="BQ413" s="214"/>
      <c r="BR413" s="214"/>
      <c r="BS413" s="214"/>
      <c r="BT413" s="214"/>
      <c r="BU413" s="214"/>
      <c r="BV413" s="214"/>
      <c r="BW413" s="214"/>
      <c r="BX413" s="214"/>
      <c r="BY413" s="214"/>
      <c r="BZ413" s="214"/>
      <c r="CA413" s="214"/>
      <c r="CB413" s="214"/>
      <c r="CC413" s="214"/>
      <c r="CD413" s="214"/>
      <c r="CE413" s="214"/>
      <c r="CF413" s="214"/>
      <c r="CG413" s="214"/>
      <c r="CH413" s="214"/>
      <c r="CI413" s="214"/>
      <c r="CJ413" s="214"/>
      <c r="CK413" s="214"/>
      <c r="CL413" s="214"/>
      <c r="CM413" s="214"/>
      <c r="CN413" s="214"/>
      <c r="CO413" s="214"/>
      <c r="CP413" s="214"/>
      <c r="CQ413" s="214"/>
      <c r="CR413" s="214"/>
      <c r="CS413" s="214"/>
      <c r="CT413" s="214"/>
      <c r="CU413" s="214"/>
      <c r="CV413" s="214"/>
      <c r="CW413" s="214"/>
      <c r="CX413" s="214"/>
      <c r="CY413" s="214"/>
      <c r="CZ413" s="214"/>
      <c r="DA413" s="214"/>
      <c r="DB413" s="214"/>
      <c r="DC413" s="214"/>
      <c r="DD413" s="214"/>
      <c r="DE413" s="214"/>
      <c r="DF413" s="214"/>
      <c r="DG413" s="214"/>
      <c r="DH413" s="214"/>
      <c r="DI413" s="214"/>
      <c r="DJ413" s="214"/>
      <c r="DK413" s="214"/>
      <c r="DL413" s="214"/>
      <c r="DM413" s="214"/>
      <c r="DN413" s="214"/>
      <c r="DO413" s="214"/>
      <c r="DP413" s="214"/>
      <c r="DQ413" s="214"/>
      <c r="DR413" s="214"/>
      <c r="DS413" s="214"/>
      <c r="DT413" s="214"/>
      <c r="DU413" s="214"/>
      <c r="DV413" s="214"/>
      <c r="DW413" s="214"/>
      <c r="DX413" s="214"/>
      <c r="DY413" s="214"/>
      <c r="DZ413" s="214"/>
      <c r="EA413" s="214"/>
      <c r="EB413" s="214"/>
      <c r="EC413" s="214"/>
    </row>
    <row r="414" spans="21:133" s="226" customFormat="1" x14ac:dyDescent="0.15">
      <c r="U414" s="214"/>
      <c r="V414" s="214"/>
      <c r="W414" s="214"/>
      <c r="X414" s="214"/>
      <c r="Y414" s="214"/>
      <c r="Z414" s="214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214"/>
      <c r="BN414" s="214"/>
      <c r="BO414" s="214"/>
      <c r="BP414" s="214"/>
      <c r="BQ414" s="214"/>
      <c r="BR414" s="214"/>
      <c r="BS414" s="214"/>
      <c r="BT414" s="214"/>
      <c r="BU414" s="214"/>
      <c r="BV414" s="214"/>
      <c r="BW414" s="214"/>
      <c r="BX414" s="214"/>
      <c r="BY414" s="214"/>
      <c r="BZ414" s="214"/>
      <c r="CA414" s="214"/>
      <c r="CB414" s="214"/>
      <c r="CC414" s="214"/>
      <c r="CD414" s="214"/>
      <c r="CE414" s="214"/>
      <c r="CF414" s="214"/>
      <c r="CG414" s="214"/>
      <c r="CH414" s="214"/>
      <c r="CI414" s="214"/>
      <c r="CJ414" s="214"/>
      <c r="CK414" s="214"/>
      <c r="CL414" s="214"/>
      <c r="CM414" s="214"/>
      <c r="CN414" s="214"/>
      <c r="CO414" s="214"/>
      <c r="CP414" s="214"/>
      <c r="CQ414" s="214"/>
      <c r="CR414" s="214"/>
      <c r="CS414" s="214"/>
      <c r="CT414" s="214"/>
      <c r="CU414" s="214"/>
      <c r="CV414" s="214"/>
      <c r="CW414" s="214"/>
      <c r="CX414" s="214"/>
      <c r="CY414" s="214"/>
      <c r="CZ414" s="214"/>
      <c r="DA414" s="214"/>
      <c r="DB414" s="214"/>
      <c r="DC414" s="214"/>
      <c r="DD414" s="214"/>
      <c r="DE414" s="214"/>
      <c r="DF414" s="214"/>
      <c r="DG414" s="214"/>
      <c r="DH414" s="214"/>
      <c r="DI414" s="214"/>
      <c r="DJ414" s="214"/>
      <c r="DK414" s="214"/>
      <c r="DL414" s="214"/>
      <c r="DM414" s="214"/>
      <c r="DN414" s="214"/>
      <c r="DO414" s="214"/>
      <c r="DP414" s="214"/>
      <c r="DQ414" s="214"/>
      <c r="DR414" s="214"/>
      <c r="DS414" s="214"/>
      <c r="DT414" s="214"/>
      <c r="DU414" s="214"/>
      <c r="DV414" s="214"/>
      <c r="DW414" s="214"/>
      <c r="DX414" s="214"/>
      <c r="DY414" s="214"/>
      <c r="DZ414" s="214"/>
      <c r="EA414" s="214"/>
      <c r="EB414" s="214"/>
      <c r="EC414" s="214"/>
    </row>
    <row r="415" spans="21:133" s="226" customFormat="1" x14ac:dyDescent="0.15"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4"/>
      <c r="BN415" s="214"/>
      <c r="BO415" s="214"/>
      <c r="BP415" s="214"/>
      <c r="BQ415" s="214"/>
      <c r="BR415" s="214"/>
      <c r="BS415" s="214"/>
      <c r="BT415" s="214"/>
      <c r="BU415" s="214"/>
      <c r="BV415" s="214"/>
      <c r="BW415" s="214"/>
      <c r="BX415" s="214"/>
      <c r="BY415" s="214"/>
      <c r="BZ415" s="214"/>
      <c r="CA415" s="214"/>
      <c r="CB415" s="214"/>
      <c r="CC415" s="214"/>
      <c r="CD415" s="214"/>
      <c r="CE415" s="214"/>
      <c r="CF415" s="214"/>
      <c r="CG415" s="214"/>
      <c r="CH415" s="214"/>
      <c r="CI415" s="214"/>
      <c r="CJ415" s="214"/>
      <c r="CK415" s="214"/>
      <c r="CL415" s="214"/>
      <c r="CM415" s="214"/>
      <c r="CN415" s="214"/>
      <c r="CO415" s="214"/>
      <c r="CP415" s="214"/>
      <c r="CQ415" s="214"/>
      <c r="CR415" s="214"/>
      <c r="CS415" s="214"/>
      <c r="CT415" s="214"/>
      <c r="CU415" s="214"/>
      <c r="CV415" s="214"/>
      <c r="CW415" s="214"/>
      <c r="CX415" s="214"/>
      <c r="CY415" s="214"/>
      <c r="CZ415" s="214"/>
      <c r="DA415" s="214"/>
      <c r="DB415" s="214"/>
      <c r="DC415" s="214"/>
      <c r="DD415" s="214"/>
      <c r="DE415" s="214"/>
      <c r="DF415" s="214"/>
      <c r="DG415" s="214"/>
      <c r="DH415" s="214"/>
      <c r="DI415" s="214"/>
      <c r="DJ415" s="214"/>
      <c r="DK415" s="214"/>
      <c r="DL415" s="214"/>
      <c r="DM415" s="214"/>
      <c r="DN415" s="214"/>
      <c r="DO415" s="214"/>
      <c r="DP415" s="214"/>
      <c r="DQ415" s="214"/>
      <c r="DR415" s="214"/>
      <c r="DS415" s="214"/>
      <c r="DT415" s="214"/>
      <c r="DU415" s="214"/>
      <c r="DV415" s="214"/>
      <c r="DW415" s="214"/>
      <c r="DX415" s="214"/>
      <c r="DY415" s="214"/>
      <c r="DZ415" s="214"/>
      <c r="EA415" s="214"/>
      <c r="EB415" s="214"/>
      <c r="EC415" s="214"/>
    </row>
    <row r="416" spans="21:133" s="226" customFormat="1" x14ac:dyDescent="0.15"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4"/>
      <c r="BN416" s="214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4"/>
      <c r="CJ416" s="214"/>
      <c r="CK416" s="214"/>
      <c r="CL416" s="214"/>
      <c r="CM416" s="214"/>
      <c r="CN416" s="214"/>
      <c r="CO416" s="214"/>
      <c r="CP416" s="214"/>
      <c r="CQ416" s="214"/>
      <c r="CR416" s="214"/>
      <c r="CS416" s="214"/>
      <c r="CT416" s="214"/>
      <c r="CU416" s="214"/>
      <c r="CV416" s="214"/>
      <c r="CW416" s="214"/>
      <c r="CX416" s="214"/>
      <c r="CY416" s="214"/>
      <c r="CZ416" s="214"/>
      <c r="DA416" s="214"/>
      <c r="DB416" s="214"/>
      <c r="DC416" s="214"/>
      <c r="DD416" s="214"/>
      <c r="DE416" s="214"/>
      <c r="DF416" s="214"/>
      <c r="DG416" s="214"/>
      <c r="DH416" s="214"/>
      <c r="DI416" s="214"/>
      <c r="DJ416" s="214"/>
      <c r="DK416" s="214"/>
      <c r="DL416" s="214"/>
      <c r="DM416" s="214"/>
      <c r="DN416" s="214"/>
      <c r="DO416" s="214"/>
      <c r="DP416" s="214"/>
      <c r="DQ416" s="214"/>
      <c r="DR416" s="214"/>
      <c r="DS416" s="214"/>
      <c r="DT416" s="214"/>
      <c r="DU416" s="214"/>
      <c r="DV416" s="214"/>
      <c r="DW416" s="214"/>
      <c r="DX416" s="214"/>
      <c r="DY416" s="214"/>
      <c r="DZ416" s="214"/>
      <c r="EA416" s="214"/>
      <c r="EB416" s="214"/>
      <c r="EC416" s="214"/>
    </row>
    <row r="417" spans="21:133" s="226" customFormat="1" x14ac:dyDescent="0.15">
      <c r="U417" s="214"/>
      <c r="V417" s="214"/>
      <c r="W417" s="214"/>
      <c r="X417" s="214"/>
      <c r="Y417" s="214"/>
      <c r="Z417" s="214"/>
      <c r="AA417" s="214"/>
      <c r="AB417" s="214"/>
      <c r="AC417" s="214"/>
      <c r="AD417" s="214"/>
      <c r="AE417" s="214"/>
      <c r="AF417" s="214"/>
      <c r="AG417" s="214"/>
      <c r="AH417" s="214"/>
      <c r="AI417" s="214"/>
      <c r="AJ417" s="214"/>
      <c r="AK417" s="214"/>
      <c r="AL417" s="214"/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  <c r="BI417" s="214"/>
      <c r="BJ417" s="214"/>
      <c r="BK417" s="214"/>
      <c r="BL417" s="214"/>
      <c r="BM417" s="214"/>
      <c r="BN417" s="214"/>
      <c r="BO417" s="214"/>
      <c r="BP417" s="214"/>
      <c r="BQ417" s="214"/>
      <c r="BR417" s="214"/>
      <c r="BS417" s="214"/>
      <c r="BT417" s="214"/>
      <c r="BU417" s="214"/>
      <c r="BV417" s="214"/>
      <c r="BW417" s="214"/>
      <c r="BX417" s="214"/>
      <c r="BY417" s="214"/>
      <c r="BZ417" s="214"/>
      <c r="CA417" s="214"/>
      <c r="CB417" s="214"/>
      <c r="CC417" s="214"/>
      <c r="CD417" s="214"/>
      <c r="CE417" s="214"/>
      <c r="CF417" s="214"/>
      <c r="CG417" s="214"/>
      <c r="CH417" s="214"/>
      <c r="CI417" s="214"/>
      <c r="CJ417" s="214"/>
      <c r="CK417" s="214"/>
      <c r="CL417" s="214"/>
      <c r="CM417" s="214"/>
      <c r="CN417" s="214"/>
      <c r="CO417" s="214"/>
      <c r="CP417" s="214"/>
      <c r="CQ417" s="214"/>
      <c r="CR417" s="214"/>
      <c r="CS417" s="214"/>
      <c r="CT417" s="214"/>
      <c r="CU417" s="214"/>
      <c r="CV417" s="214"/>
      <c r="CW417" s="214"/>
      <c r="CX417" s="214"/>
      <c r="CY417" s="214"/>
      <c r="CZ417" s="214"/>
      <c r="DA417" s="214"/>
      <c r="DB417" s="214"/>
      <c r="DC417" s="214"/>
      <c r="DD417" s="214"/>
      <c r="DE417" s="214"/>
      <c r="DF417" s="214"/>
      <c r="DG417" s="214"/>
      <c r="DH417" s="214"/>
      <c r="DI417" s="214"/>
      <c r="DJ417" s="214"/>
      <c r="DK417" s="214"/>
      <c r="DL417" s="214"/>
      <c r="DM417" s="214"/>
      <c r="DN417" s="214"/>
      <c r="DO417" s="214"/>
      <c r="DP417" s="214"/>
      <c r="DQ417" s="214"/>
      <c r="DR417" s="214"/>
      <c r="DS417" s="214"/>
      <c r="DT417" s="214"/>
      <c r="DU417" s="214"/>
      <c r="DV417" s="214"/>
      <c r="DW417" s="214"/>
      <c r="DX417" s="214"/>
      <c r="DY417" s="214"/>
      <c r="DZ417" s="214"/>
      <c r="EA417" s="214"/>
      <c r="EB417" s="214"/>
      <c r="EC417" s="214"/>
    </row>
    <row r="418" spans="21:133" s="226" customFormat="1" x14ac:dyDescent="0.15">
      <c r="U418" s="214"/>
      <c r="V418" s="214"/>
      <c r="W418" s="214"/>
      <c r="X418" s="214"/>
      <c r="Y418" s="214"/>
      <c r="Z418" s="214"/>
      <c r="AA418" s="214"/>
      <c r="AB418" s="214"/>
      <c r="AC418" s="214"/>
      <c r="AD418" s="214"/>
      <c r="AE418" s="214"/>
      <c r="AF418" s="214"/>
      <c r="AG418" s="214"/>
      <c r="AH418" s="214"/>
      <c r="AI418" s="214"/>
      <c r="AJ418" s="214"/>
      <c r="AK418" s="214"/>
      <c r="AL418" s="214"/>
      <c r="AM418" s="214"/>
      <c r="AN418" s="214"/>
      <c r="AO418" s="214"/>
      <c r="AP418" s="214"/>
      <c r="AQ418" s="214"/>
      <c r="AR418" s="214"/>
      <c r="AS418" s="214"/>
      <c r="AT418" s="214"/>
      <c r="AU418" s="214"/>
      <c r="AV418" s="214"/>
      <c r="AW418" s="214"/>
      <c r="AX418" s="214"/>
      <c r="AY418" s="214"/>
      <c r="AZ418" s="214"/>
      <c r="BA418" s="214"/>
      <c r="BB418" s="214"/>
      <c r="BC418" s="214"/>
      <c r="BD418" s="214"/>
      <c r="BE418" s="214"/>
      <c r="BF418" s="214"/>
      <c r="BG418" s="214"/>
      <c r="BH418" s="214"/>
      <c r="BI418" s="214"/>
      <c r="BJ418" s="214"/>
      <c r="BK418" s="214"/>
      <c r="BL418" s="214"/>
      <c r="BM418" s="214"/>
      <c r="BN418" s="214"/>
      <c r="BO418" s="214"/>
      <c r="BP418" s="214"/>
      <c r="BQ418" s="214"/>
      <c r="BR418" s="214"/>
      <c r="BS418" s="214"/>
      <c r="BT418" s="214"/>
      <c r="BU418" s="214"/>
      <c r="BV418" s="214"/>
      <c r="BW418" s="214"/>
      <c r="BX418" s="214"/>
      <c r="BY418" s="214"/>
      <c r="BZ418" s="214"/>
      <c r="CA418" s="214"/>
      <c r="CB418" s="214"/>
      <c r="CC418" s="214"/>
      <c r="CD418" s="214"/>
      <c r="CE418" s="214"/>
      <c r="CF418" s="214"/>
      <c r="CG418" s="214"/>
      <c r="CH418" s="214"/>
      <c r="CI418" s="214"/>
      <c r="CJ418" s="214"/>
      <c r="CK418" s="214"/>
      <c r="CL418" s="214"/>
      <c r="CM418" s="214"/>
      <c r="CN418" s="214"/>
      <c r="CO418" s="214"/>
      <c r="CP418" s="214"/>
      <c r="CQ418" s="214"/>
      <c r="CR418" s="214"/>
      <c r="CS418" s="214"/>
      <c r="CT418" s="214"/>
      <c r="CU418" s="214"/>
      <c r="CV418" s="214"/>
      <c r="CW418" s="214"/>
      <c r="CX418" s="214"/>
      <c r="CY418" s="214"/>
      <c r="CZ418" s="214"/>
      <c r="DA418" s="214"/>
      <c r="DB418" s="214"/>
      <c r="DC418" s="214"/>
      <c r="DD418" s="214"/>
      <c r="DE418" s="214"/>
      <c r="DF418" s="214"/>
      <c r="DG418" s="214"/>
      <c r="DH418" s="214"/>
      <c r="DI418" s="214"/>
      <c r="DJ418" s="214"/>
      <c r="DK418" s="214"/>
      <c r="DL418" s="214"/>
      <c r="DM418" s="214"/>
      <c r="DN418" s="214"/>
      <c r="DO418" s="214"/>
      <c r="DP418" s="214"/>
      <c r="DQ418" s="214"/>
      <c r="DR418" s="214"/>
      <c r="DS418" s="214"/>
      <c r="DT418" s="214"/>
      <c r="DU418" s="214"/>
      <c r="DV418" s="214"/>
      <c r="DW418" s="214"/>
      <c r="DX418" s="214"/>
      <c r="DY418" s="214"/>
      <c r="DZ418" s="214"/>
      <c r="EA418" s="214"/>
      <c r="EB418" s="214"/>
      <c r="EC418" s="214"/>
    </row>
    <row r="419" spans="21:133" s="226" customFormat="1" x14ac:dyDescent="0.15">
      <c r="U419" s="214"/>
      <c r="V419" s="214"/>
      <c r="W419" s="214"/>
      <c r="X419" s="214"/>
      <c r="Y419" s="214"/>
      <c r="Z419" s="214"/>
      <c r="AA419" s="214"/>
      <c r="AB419" s="214"/>
      <c r="AC419" s="214"/>
      <c r="AD419" s="214"/>
      <c r="AE419" s="214"/>
      <c r="AF419" s="214"/>
      <c r="AG419" s="214"/>
      <c r="AH419" s="214"/>
      <c r="AI419" s="214"/>
      <c r="AJ419" s="214"/>
      <c r="AK419" s="214"/>
      <c r="AL419" s="214"/>
      <c r="AM419" s="214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  <c r="BI419" s="214"/>
      <c r="BJ419" s="214"/>
      <c r="BK419" s="214"/>
      <c r="BL419" s="214"/>
      <c r="BM419" s="214"/>
      <c r="BN419" s="214"/>
      <c r="BO419" s="214"/>
      <c r="BP419" s="214"/>
      <c r="BQ419" s="214"/>
      <c r="BR419" s="214"/>
      <c r="BS419" s="214"/>
      <c r="BT419" s="214"/>
      <c r="BU419" s="214"/>
      <c r="BV419" s="214"/>
      <c r="BW419" s="214"/>
      <c r="BX419" s="214"/>
      <c r="BY419" s="214"/>
      <c r="BZ419" s="214"/>
      <c r="CA419" s="214"/>
      <c r="CB419" s="214"/>
      <c r="CC419" s="214"/>
      <c r="CD419" s="214"/>
      <c r="CE419" s="214"/>
      <c r="CF419" s="214"/>
      <c r="CG419" s="214"/>
      <c r="CH419" s="214"/>
      <c r="CI419" s="214"/>
      <c r="CJ419" s="214"/>
      <c r="CK419" s="214"/>
      <c r="CL419" s="214"/>
      <c r="CM419" s="214"/>
      <c r="CN419" s="214"/>
      <c r="CO419" s="214"/>
      <c r="CP419" s="214"/>
      <c r="CQ419" s="214"/>
      <c r="CR419" s="214"/>
      <c r="CS419" s="214"/>
      <c r="CT419" s="214"/>
      <c r="CU419" s="214"/>
      <c r="CV419" s="214"/>
      <c r="CW419" s="214"/>
      <c r="CX419" s="214"/>
      <c r="CY419" s="214"/>
      <c r="CZ419" s="214"/>
      <c r="DA419" s="214"/>
      <c r="DB419" s="214"/>
      <c r="DC419" s="214"/>
      <c r="DD419" s="214"/>
      <c r="DE419" s="214"/>
      <c r="DF419" s="214"/>
      <c r="DG419" s="214"/>
      <c r="DH419" s="214"/>
      <c r="DI419" s="214"/>
      <c r="DJ419" s="214"/>
      <c r="DK419" s="214"/>
      <c r="DL419" s="214"/>
      <c r="DM419" s="214"/>
      <c r="DN419" s="214"/>
      <c r="DO419" s="214"/>
      <c r="DP419" s="214"/>
      <c r="DQ419" s="214"/>
      <c r="DR419" s="214"/>
      <c r="DS419" s="214"/>
      <c r="DT419" s="214"/>
      <c r="DU419" s="214"/>
      <c r="DV419" s="214"/>
      <c r="DW419" s="214"/>
      <c r="DX419" s="214"/>
      <c r="DY419" s="214"/>
      <c r="DZ419" s="214"/>
      <c r="EA419" s="214"/>
      <c r="EB419" s="214"/>
      <c r="EC419" s="214"/>
    </row>
    <row r="420" spans="21:133" s="226" customFormat="1" x14ac:dyDescent="0.15">
      <c r="U420" s="214"/>
      <c r="V420" s="214"/>
      <c r="W420" s="214"/>
      <c r="X420" s="214"/>
      <c r="Y420" s="214"/>
      <c r="Z420" s="214"/>
      <c r="AA420" s="214"/>
      <c r="AB420" s="214"/>
      <c r="AC420" s="214"/>
      <c r="AD420" s="214"/>
      <c r="AE420" s="214"/>
      <c r="AF420" s="214"/>
      <c r="AG420" s="214"/>
      <c r="AH420" s="214"/>
      <c r="AI420" s="214"/>
      <c r="AJ420" s="214"/>
      <c r="AK420" s="214"/>
      <c r="AL420" s="214"/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  <c r="BI420" s="214"/>
      <c r="BJ420" s="214"/>
      <c r="BK420" s="214"/>
      <c r="BL420" s="214"/>
      <c r="BM420" s="214"/>
      <c r="BN420" s="214"/>
      <c r="BO420" s="214"/>
      <c r="BP420" s="214"/>
      <c r="BQ420" s="214"/>
      <c r="BR420" s="214"/>
      <c r="BS420" s="214"/>
      <c r="BT420" s="214"/>
      <c r="BU420" s="214"/>
      <c r="BV420" s="214"/>
      <c r="BW420" s="214"/>
      <c r="BX420" s="214"/>
      <c r="BY420" s="214"/>
      <c r="BZ420" s="214"/>
      <c r="CA420" s="214"/>
      <c r="CB420" s="214"/>
      <c r="CC420" s="214"/>
      <c r="CD420" s="214"/>
      <c r="CE420" s="214"/>
      <c r="CF420" s="214"/>
      <c r="CG420" s="214"/>
      <c r="CH420" s="214"/>
      <c r="CI420" s="214"/>
      <c r="CJ420" s="214"/>
      <c r="CK420" s="214"/>
      <c r="CL420" s="214"/>
      <c r="CM420" s="214"/>
      <c r="CN420" s="214"/>
      <c r="CO420" s="214"/>
      <c r="CP420" s="214"/>
      <c r="CQ420" s="214"/>
      <c r="CR420" s="214"/>
      <c r="CS420" s="214"/>
      <c r="CT420" s="214"/>
      <c r="CU420" s="214"/>
      <c r="CV420" s="214"/>
      <c r="CW420" s="214"/>
      <c r="CX420" s="214"/>
      <c r="CY420" s="214"/>
      <c r="CZ420" s="214"/>
      <c r="DA420" s="214"/>
      <c r="DB420" s="214"/>
      <c r="DC420" s="214"/>
      <c r="DD420" s="214"/>
      <c r="DE420" s="214"/>
      <c r="DF420" s="214"/>
      <c r="DG420" s="214"/>
      <c r="DH420" s="214"/>
      <c r="DI420" s="214"/>
      <c r="DJ420" s="214"/>
      <c r="DK420" s="214"/>
      <c r="DL420" s="214"/>
      <c r="DM420" s="214"/>
      <c r="DN420" s="214"/>
      <c r="DO420" s="214"/>
      <c r="DP420" s="214"/>
      <c r="DQ420" s="214"/>
      <c r="DR420" s="214"/>
      <c r="DS420" s="214"/>
      <c r="DT420" s="214"/>
      <c r="DU420" s="214"/>
      <c r="DV420" s="214"/>
      <c r="DW420" s="214"/>
      <c r="DX420" s="214"/>
      <c r="DY420" s="214"/>
      <c r="DZ420" s="214"/>
      <c r="EA420" s="214"/>
      <c r="EB420" s="214"/>
      <c r="EC420" s="214"/>
    </row>
    <row r="421" spans="21:133" s="226" customFormat="1" x14ac:dyDescent="0.15">
      <c r="U421" s="214"/>
      <c r="V421" s="214"/>
      <c r="W421" s="214"/>
      <c r="X421" s="214"/>
      <c r="Y421" s="214"/>
      <c r="Z421" s="214"/>
      <c r="AA421" s="214"/>
      <c r="AB421" s="214"/>
      <c r="AC421" s="214"/>
      <c r="AD421" s="214"/>
      <c r="AE421" s="214"/>
      <c r="AF421" s="214"/>
      <c r="AG421" s="214"/>
      <c r="AH421" s="214"/>
      <c r="AI421" s="214"/>
      <c r="AJ421" s="214"/>
      <c r="AK421" s="214"/>
      <c r="AL421" s="214"/>
      <c r="AM421" s="214"/>
      <c r="AN421" s="214"/>
      <c r="AO421" s="214"/>
      <c r="AP421" s="214"/>
      <c r="AQ421" s="214"/>
      <c r="AR421" s="214"/>
      <c r="AS421" s="214"/>
      <c r="AT421" s="214"/>
      <c r="AU421" s="214"/>
      <c r="AV421" s="214"/>
      <c r="AW421" s="214"/>
      <c r="AX421" s="214"/>
      <c r="AY421" s="214"/>
      <c r="AZ421" s="214"/>
      <c r="BA421" s="214"/>
      <c r="BB421" s="214"/>
      <c r="BC421" s="214"/>
      <c r="BD421" s="214"/>
      <c r="BE421" s="214"/>
      <c r="BF421" s="214"/>
      <c r="BG421" s="214"/>
      <c r="BH421" s="214"/>
      <c r="BI421" s="214"/>
      <c r="BJ421" s="214"/>
      <c r="BK421" s="214"/>
      <c r="BL421" s="214"/>
      <c r="BM421" s="214"/>
      <c r="BN421" s="214"/>
      <c r="BO421" s="214"/>
      <c r="BP421" s="214"/>
      <c r="BQ421" s="214"/>
      <c r="BR421" s="214"/>
      <c r="BS421" s="214"/>
      <c r="BT421" s="214"/>
      <c r="BU421" s="214"/>
      <c r="BV421" s="214"/>
      <c r="BW421" s="214"/>
      <c r="BX421" s="214"/>
      <c r="BY421" s="214"/>
      <c r="BZ421" s="214"/>
      <c r="CA421" s="214"/>
      <c r="CB421" s="214"/>
      <c r="CC421" s="214"/>
      <c r="CD421" s="214"/>
      <c r="CE421" s="214"/>
      <c r="CF421" s="214"/>
      <c r="CG421" s="214"/>
      <c r="CH421" s="214"/>
      <c r="CI421" s="214"/>
      <c r="CJ421" s="214"/>
      <c r="CK421" s="214"/>
      <c r="CL421" s="214"/>
      <c r="CM421" s="214"/>
      <c r="CN421" s="214"/>
      <c r="CO421" s="214"/>
      <c r="CP421" s="214"/>
      <c r="CQ421" s="214"/>
      <c r="CR421" s="214"/>
      <c r="CS421" s="214"/>
      <c r="CT421" s="214"/>
      <c r="CU421" s="214"/>
      <c r="CV421" s="214"/>
      <c r="CW421" s="214"/>
      <c r="CX421" s="214"/>
      <c r="CY421" s="214"/>
      <c r="CZ421" s="214"/>
      <c r="DA421" s="214"/>
      <c r="DB421" s="214"/>
      <c r="DC421" s="214"/>
      <c r="DD421" s="214"/>
      <c r="DE421" s="214"/>
      <c r="DF421" s="214"/>
      <c r="DG421" s="214"/>
      <c r="DH421" s="214"/>
      <c r="DI421" s="214"/>
      <c r="DJ421" s="214"/>
      <c r="DK421" s="214"/>
      <c r="DL421" s="214"/>
      <c r="DM421" s="214"/>
      <c r="DN421" s="214"/>
      <c r="DO421" s="214"/>
      <c r="DP421" s="214"/>
      <c r="DQ421" s="214"/>
      <c r="DR421" s="214"/>
      <c r="DS421" s="214"/>
      <c r="DT421" s="214"/>
      <c r="DU421" s="214"/>
      <c r="DV421" s="214"/>
      <c r="DW421" s="214"/>
      <c r="DX421" s="214"/>
      <c r="DY421" s="214"/>
      <c r="DZ421" s="214"/>
      <c r="EA421" s="214"/>
      <c r="EB421" s="214"/>
      <c r="EC421" s="214"/>
    </row>
    <row r="422" spans="21:133" s="226" customFormat="1" x14ac:dyDescent="0.15">
      <c r="U422" s="214"/>
      <c r="V422" s="214"/>
      <c r="W422" s="214"/>
      <c r="X422" s="214"/>
      <c r="Y422" s="214"/>
      <c r="Z422" s="214"/>
      <c r="AA422" s="214"/>
      <c r="AB422" s="214"/>
      <c r="AC422" s="214"/>
      <c r="AD422" s="214"/>
      <c r="AE422" s="214"/>
      <c r="AF422" s="214"/>
      <c r="AG422" s="214"/>
      <c r="AH422" s="214"/>
      <c r="AI422" s="214"/>
      <c r="AJ422" s="214"/>
      <c r="AK422" s="214"/>
      <c r="AL422" s="214"/>
      <c r="AM422" s="214"/>
      <c r="AN422" s="214"/>
      <c r="AO422" s="214"/>
      <c r="AP422" s="214"/>
      <c r="AQ422" s="214"/>
      <c r="AR422" s="214"/>
      <c r="AS422" s="214"/>
      <c r="AT422" s="214"/>
      <c r="AU422" s="214"/>
      <c r="AV422" s="214"/>
      <c r="AW422" s="214"/>
      <c r="AX422" s="214"/>
      <c r="AY422" s="214"/>
      <c r="AZ422" s="214"/>
      <c r="BA422" s="214"/>
      <c r="BB422" s="214"/>
      <c r="BC422" s="214"/>
      <c r="BD422" s="214"/>
      <c r="BE422" s="214"/>
      <c r="BF422" s="214"/>
      <c r="BG422" s="214"/>
      <c r="BH422" s="214"/>
      <c r="BI422" s="214"/>
      <c r="BJ422" s="214"/>
      <c r="BK422" s="214"/>
      <c r="BL422" s="214"/>
      <c r="BM422" s="214"/>
      <c r="BN422" s="214"/>
      <c r="BO422" s="214"/>
      <c r="BP422" s="214"/>
      <c r="BQ422" s="214"/>
      <c r="BR422" s="214"/>
      <c r="BS422" s="214"/>
      <c r="BT422" s="214"/>
      <c r="BU422" s="214"/>
      <c r="BV422" s="214"/>
      <c r="BW422" s="214"/>
      <c r="BX422" s="214"/>
      <c r="BY422" s="214"/>
      <c r="BZ422" s="214"/>
      <c r="CA422" s="214"/>
      <c r="CB422" s="214"/>
      <c r="CC422" s="214"/>
      <c r="CD422" s="214"/>
      <c r="CE422" s="214"/>
      <c r="CF422" s="214"/>
      <c r="CG422" s="214"/>
      <c r="CH422" s="214"/>
      <c r="CI422" s="214"/>
      <c r="CJ422" s="214"/>
      <c r="CK422" s="214"/>
      <c r="CL422" s="214"/>
      <c r="CM422" s="214"/>
      <c r="CN422" s="214"/>
      <c r="CO422" s="214"/>
      <c r="CP422" s="214"/>
      <c r="CQ422" s="214"/>
      <c r="CR422" s="214"/>
      <c r="CS422" s="214"/>
      <c r="CT422" s="214"/>
      <c r="CU422" s="214"/>
      <c r="CV422" s="214"/>
      <c r="CW422" s="214"/>
      <c r="CX422" s="214"/>
      <c r="CY422" s="214"/>
      <c r="CZ422" s="214"/>
      <c r="DA422" s="214"/>
      <c r="DB422" s="214"/>
      <c r="DC422" s="214"/>
      <c r="DD422" s="214"/>
      <c r="DE422" s="214"/>
      <c r="DF422" s="214"/>
      <c r="DG422" s="214"/>
      <c r="DH422" s="214"/>
      <c r="DI422" s="214"/>
      <c r="DJ422" s="214"/>
      <c r="DK422" s="214"/>
      <c r="DL422" s="214"/>
      <c r="DM422" s="214"/>
      <c r="DN422" s="214"/>
      <c r="DO422" s="214"/>
      <c r="DP422" s="214"/>
      <c r="DQ422" s="214"/>
      <c r="DR422" s="214"/>
      <c r="DS422" s="214"/>
      <c r="DT422" s="214"/>
      <c r="DU422" s="214"/>
      <c r="DV422" s="214"/>
      <c r="DW422" s="214"/>
      <c r="DX422" s="214"/>
      <c r="DY422" s="214"/>
      <c r="DZ422" s="214"/>
      <c r="EA422" s="214"/>
      <c r="EB422" s="214"/>
      <c r="EC422" s="214"/>
    </row>
    <row r="423" spans="21:133" s="226" customFormat="1" x14ac:dyDescent="0.15">
      <c r="U423" s="214"/>
      <c r="V423" s="214"/>
      <c r="W423" s="214"/>
      <c r="X423" s="214"/>
      <c r="Y423" s="214"/>
      <c r="Z423" s="214"/>
      <c r="AA423" s="214"/>
      <c r="AB423" s="214"/>
      <c r="AC423" s="214"/>
      <c r="AD423" s="214"/>
      <c r="AE423" s="214"/>
      <c r="AF423" s="214"/>
      <c r="AG423" s="214"/>
      <c r="AH423" s="214"/>
      <c r="AI423" s="214"/>
      <c r="AJ423" s="214"/>
      <c r="AK423" s="214"/>
      <c r="AL423" s="214"/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  <c r="BI423" s="214"/>
      <c r="BJ423" s="214"/>
      <c r="BK423" s="214"/>
      <c r="BL423" s="214"/>
      <c r="BM423" s="214"/>
      <c r="BN423" s="214"/>
      <c r="BO423" s="214"/>
      <c r="BP423" s="214"/>
      <c r="BQ423" s="214"/>
      <c r="BR423" s="214"/>
      <c r="BS423" s="214"/>
      <c r="BT423" s="214"/>
      <c r="BU423" s="214"/>
      <c r="BV423" s="214"/>
      <c r="BW423" s="214"/>
      <c r="BX423" s="214"/>
      <c r="BY423" s="214"/>
      <c r="BZ423" s="214"/>
      <c r="CA423" s="214"/>
      <c r="CB423" s="214"/>
      <c r="CC423" s="214"/>
      <c r="CD423" s="214"/>
      <c r="CE423" s="214"/>
      <c r="CF423" s="214"/>
      <c r="CG423" s="214"/>
      <c r="CH423" s="214"/>
      <c r="CI423" s="214"/>
      <c r="CJ423" s="214"/>
      <c r="CK423" s="214"/>
      <c r="CL423" s="214"/>
      <c r="CM423" s="214"/>
      <c r="CN423" s="214"/>
      <c r="CO423" s="214"/>
      <c r="CP423" s="214"/>
      <c r="CQ423" s="214"/>
      <c r="CR423" s="214"/>
      <c r="CS423" s="214"/>
      <c r="CT423" s="214"/>
      <c r="CU423" s="214"/>
      <c r="CV423" s="214"/>
      <c r="CW423" s="214"/>
      <c r="CX423" s="214"/>
      <c r="CY423" s="214"/>
      <c r="CZ423" s="214"/>
      <c r="DA423" s="214"/>
      <c r="DB423" s="214"/>
      <c r="DC423" s="214"/>
      <c r="DD423" s="214"/>
      <c r="DE423" s="214"/>
      <c r="DF423" s="214"/>
      <c r="DG423" s="214"/>
      <c r="DH423" s="214"/>
      <c r="DI423" s="214"/>
      <c r="DJ423" s="214"/>
      <c r="DK423" s="214"/>
      <c r="DL423" s="214"/>
      <c r="DM423" s="214"/>
      <c r="DN423" s="214"/>
      <c r="DO423" s="214"/>
      <c r="DP423" s="214"/>
      <c r="DQ423" s="214"/>
      <c r="DR423" s="214"/>
      <c r="DS423" s="214"/>
      <c r="DT423" s="214"/>
      <c r="DU423" s="214"/>
      <c r="DV423" s="214"/>
      <c r="DW423" s="214"/>
      <c r="DX423" s="214"/>
      <c r="DY423" s="214"/>
      <c r="DZ423" s="214"/>
      <c r="EA423" s="214"/>
      <c r="EB423" s="214"/>
      <c r="EC423" s="214"/>
    </row>
    <row r="424" spans="21:133" s="226" customFormat="1" x14ac:dyDescent="0.15">
      <c r="U424" s="214"/>
      <c r="V424" s="214"/>
      <c r="W424" s="214"/>
      <c r="X424" s="214"/>
      <c r="Y424" s="214"/>
      <c r="Z424" s="214"/>
      <c r="AA424" s="214"/>
      <c r="AB424" s="214"/>
      <c r="AC424" s="214"/>
      <c r="AD424" s="214"/>
      <c r="AE424" s="214"/>
      <c r="AF424" s="214"/>
      <c r="AG424" s="214"/>
      <c r="AH424" s="214"/>
      <c r="AI424" s="214"/>
      <c r="AJ424" s="214"/>
      <c r="AK424" s="214"/>
      <c r="AL424" s="214"/>
      <c r="AM424" s="214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4"/>
      <c r="BN424" s="214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4"/>
      <c r="CJ424" s="214"/>
      <c r="CK424" s="214"/>
      <c r="CL424" s="214"/>
      <c r="CM424" s="214"/>
      <c r="CN424" s="214"/>
      <c r="CO424" s="214"/>
      <c r="CP424" s="214"/>
      <c r="CQ424" s="214"/>
      <c r="CR424" s="214"/>
      <c r="CS424" s="214"/>
      <c r="CT424" s="214"/>
      <c r="CU424" s="214"/>
      <c r="CV424" s="214"/>
      <c r="CW424" s="214"/>
      <c r="CX424" s="214"/>
      <c r="CY424" s="214"/>
      <c r="CZ424" s="214"/>
      <c r="DA424" s="214"/>
      <c r="DB424" s="214"/>
      <c r="DC424" s="214"/>
      <c r="DD424" s="214"/>
      <c r="DE424" s="214"/>
      <c r="DF424" s="214"/>
      <c r="DG424" s="214"/>
      <c r="DH424" s="214"/>
      <c r="DI424" s="214"/>
      <c r="DJ424" s="214"/>
      <c r="DK424" s="214"/>
      <c r="DL424" s="214"/>
      <c r="DM424" s="214"/>
      <c r="DN424" s="214"/>
      <c r="DO424" s="214"/>
      <c r="DP424" s="214"/>
      <c r="DQ424" s="214"/>
      <c r="DR424" s="214"/>
      <c r="DS424" s="214"/>
      <c r="DT424" s="214"/>
      <c r="DU424" s="214"/>
      <c r="DV424" s="214"/>
      <c r="DW424" s="214"/>
      <c r="DX424" s="214"/>
      <c r="DY424" s="214"/>
      <c r="DZ424" s="214"/>
      <c r="EA424" s="214"/>
      <c r="EB424" s="214"/>
      <c r="EC424" s="214"/>
    </row>
    <row r="425" spans="21:133" s="226" customFormat="1" x14ac:dyDescent="0.15">
      <c r="U425" s="214"/>
      <c r="V425" s="214"/>
      <c r="W425" s="214"/>
      <c r="X425" s="214"/>
      <c r="Y425" s="214"/>
      <c r="Z425" s="214"/>
      <c r="AA425" s="214"/>
      <c r="AB425" s="214"/>
      <c r="AC425" s="214"/>
      <c r="AD425" s="214"/>
      <c r="AE425" s="214"/>
      <c r="AF425" s="214"/>
      <c r="AG425" s="214"/>
      <c r="AH425" s="214"/>
      <c r="AI425" s="214"/>
      <c r="AJ425" s="214"/>
      <c r="AK425" s="214"/>
      <c r="AL425" s="214"/>
      <c r="AM425" s="214"/>
      <c r="AN425" s="214"/>
      <c r="AO425" s="214"/>
      <c r="AP425" s="214"/>
      <c r="AQ425" s="214"/>
      <c r="AR425" s="214"/>
      <c r="AS425" s="214"/>
      <c r="AT425" s="214"/>
      <c r="AU425" s="214"/>
      <c r="AV425" s="214"/>
      <c r="AW425" s="214"/>
      <c r="AX425" s="214"/>
      <c r="AY425" s="214"/>
      <c r="AZ425" s="214"/>
      <c r="BA425" s="214"/>
      <c r="BB425" s="214"/>
      <c r="BC425" s="214"/>
      <c r="BD425" s="214"/>
      <c r="BE425" s="214"/>
      <c r="BF425" s="214"/>
      <c r="BG425" s="214"/>
      <c r="BH425" s="214"/>
      <c r="BI425" s="214"/>
      <c r="BJ425" s="214"/>
      <c r="BK425" s="214"/>
      <c r="BL425" s="214"/>
      <c r="BM425" s="214"/>
      <c r="BN425" s="214"/>
      <c r="BO425" s="214"/>
      <c r="BP425" s="214"/>
      <c r="BQ425" s="214"/>
      <c r="BR425" s="214"/>
      <c r="BS425" s="214"/>
      <c r="BT425" s="214"/>
      <c r="BU425" s="214"/>
      <c r="BV425" s="214"/>
      <c r="BW425" s="214"/>
      <c r="BX425" s="214"/>
      <c r="BY425" s="214"/>
      <c r="BZ425" s="214"/>
      <c r="CA425" s="214"/>
      <c r="CB425" s="214"/>
      <c r="CC425" s="214"/>
      <c r="CD425" s="214"/>
      <c r="CE425" s="214"/>
      <c r="CF425" s="214"/>
      <c r="CG425" s="214"/>
      <c r="CH425" s="214"/>
      <c r="CI425" s="214"/>
      <c r="CJ425" s="214"/>
      <c r="CK425" s="214"/>
      <c r="CL425" s="214"/>
      <c r="CM425" s="214"/>
      <c r="CN425" s="214"/>
      <c r="CO425" s="214"/>
      <c r="CP425" s="214"/>
      <c r="CQ425" s="214"/>
      <c r="CR425" s="214"/>
      <c r="CS425" s="214"/>
      <c r="CT425" s="214"/>
      <c r="CU425" s="214"/>
      <c r="CV425" s="214"/>
      <c r="CW425" s="214"/>
      <c r="CX425" s="214"/>
      <c r="CY425" s="214"/>
      <c r="CZ425" s="214"/>
      <c r="DA425" s="214"/>
      <c r="DB425" s="214"/>
      <c r="DC425" s="214"/>
      <c r="DD425" s="214"/>
      <c r="DE425" s="214"/>
      <c r="DF425" s="214"/>
      <c r="DG425" s="214"/>
      <c r="DH425" s="214"/>
      <c r="DI425" s="214"/>
      <c r="DJ425" s="214"/>
      <c r="DK425" s="214"/>
      <c r="DL425" s="214"/>
      <c r="DM425" s="214"/>
      <c r="DN425" s="214"/>
      <c r="DO425" s="214"/>
      <c r="DP425" s="214"/>
      <c r="DQ425" s="214"/>
      <c r="DR425" s="214"/>
      <c r="DS425" s="214"/>
      <c r="DT425" s="214"/>
      <c r="DU425" s="214"/>
      <c r="DV425" s="214"/>
      <c r="DW425" s="214"/>
      <c r="DX425" s="214"/>
      <c r="DY425" s="214"/>
      <c r="DZ425" s="214"/>
      <c r="EA425" s="214"/>
      <c r="EB425" s="214"/>
      <c r="EC425" s="214"/>
    </row>
    <row r="426" spans="21:133" s="226" customFormat="1" x14ac:dyDescent="0.15">
      <c r="U426" s="214"/>
      <c r="V426" s="214"/>
      <c r="W426" s="214"/>
      <c r="X426" s="214"/>
      <c r="Y426" s="214"/>
      <c r="Z426" s="214"/>
      <c r="AA426" s="214"/>
      <c r="AB426" s="214"/>
      <c r="AC426" s="214"/>
      <c r="AD426" s="214"/>
      <c r="AE426" s="214"/>
      <c r="AF426" s="214"/>
      <c r="AG426" s="214"/>
      <c r="AH426" s="214"/>
      <c r="AI426" s="214"/>
      <c r="AJ426" s="214"/>
      <c r="AK426" s="214"/>
      <c r="AL426" s="214"/>
      <c r="AM426" s="214"/>
      <c r="AN426" s="214"/>
      <c r="AO426" s="214"/>
      <c r="AP426" s="214"/>
      <c r="AQ426" s="214"/>
      <c r="AR426" s="214"/>
      <c r="AS426" s="214"/>
      <c r="AT426" s="214"/>
      <c r="AU426" s="214"/>
      <c r="AV426" s="214"/>
      <c r="AW426" s="214"/>
      <c r="AX426" s="214"/>
      <c r="AY426" s="214"/>
      <c r="AZ426" s="214"/>
      <c r="BA426" s="214"/>
      <c r="BB426" s="214"/>
      <c r="BC426" s="214"/>
      <c r="BD426" s="214"/>
      <c r="BE426" s="214"/>
      <c r="BF426" s="214"/>
      <c r="BG426" s="214"/>
      <c r="BH426" s="214"/>
      <c r="BI426" s="214"/>
      <c r="BJ426" s="214"/>
      <c r="BK426" s="214"/>
      <c r="BL426" s="214"/>
      <c r="BM426" s="214"/>
      <c r="BN426" s="214"/>
      <c r="BO426" s="214"/>
      <c r="BP426" s="214"/>
      <c r="BQ426" s="214"/>
      <c r="BR426" s="214"/>
      <c r="BS426" s="214"/>
      <c r="BT426" s="214"/>
      <c r="BU426" s="214"/>
      <c r="BV426" s="214"/>
      <c r="BW426" s="214"/>
      <c r="BX426" s="214"/>
      <c r="BY426" s="214"/>
      <c r="BZ426" s="214"/>
      <c r="CA426" s="214"/>
      <c r="CB426" s="214"/>
      <c r="CC426" s="214"/>
      <c r="CD426" s="214"/>
      <c r="CE426" s="214"/>
      <c r="CF426" s="214"/>
      <c r="CG426" s="214"/>
      <c r="CH426" s="214"/>
      <c r="CI426" s="214"/>
      <c r="CJ426" s="214"/>
      <c r="CK426" s="214"/>
      <c r="CL426" s="214"/>
      <c r="CM426" s="214"/>
      <c r="CN426" s="214"/>
      <c r="CO426" s="214"/>
      <c r="CP426" s="214"/>
      <c r="CQ426" s="214"/>
      <c r="CR426" s="214"/>
      <c r="CS426" s="214"/>
      <c r="CT426" s="214"/>
      <c r="CU426" s="214"/>
      <c r="CV426" s="214"/>
      <c r="CW426" s="214"/>
      <c r="CX426" s="214"/>
      <c r="CY426" s="214"/>
      <c r="CZ426" s="214"/>
      <c r="DA426" s="214"/>
      <c r="DB426" s="214"/>
      <c r="DC426" s="214"/>
      <c r="DD426" s="214"/>
      <c r="DE426" s="214"/>
      <c r="DF426" s="214"/>
      <c r="DG426" s="214"/>
      <c r="DH426" s="214"/>
      <c r="DI426" s="214"/>
      <c r="DJ426" s="214"/>
      <c r="DK426" s="214"/>
      <c r="DL426" s="214"/>
      <c r="DM426" s="214"/>
      <c r="DN426" s="214"/>
      <c r="DO426" s="214"/>
      <c r="DP426" s="214"/>
      <c r="DQ426" s="214"/>
      <c r="DR426" s="214"/>
      <c r="DS426" s="214"/>
      <c r="DT426" s="214"/>
      <c r="DU426" s="214"/>
      <c r="DV426" s="214"/>
      <c r="DW426" s="214"/>
      <c r="DX426" s="214"/>
      <c r="DY426" s="214"/>
      <c r="DZ426" s="214"/>
      <c r="EA426" s="214"/>
      <c r="EB426" s="214"/>
      <c r="EC426" s="214"/>
    </row>
    <row r="427" spans="21:133" s="226" customFormat="1" x14ac:dyDescent="0.15">
      <c r="U427" s="214"/>
      <c r="V427" s="214"/>
      <c r="W427" s="214"/>
      <c r="X427" s="214"/>
      <c r="Y427" s="214"/>
      <c r="Z427" s="214"/>
      <c r="AA427" s="214"/>
      <c r="AB427" s="214"/>
      <c r="AC427" s="214"/>
      <c r="AD427" s="214"/>
      <c r="AE427" s="214"/>
      <c r="AF427" s="214"/>
      <c r="AG427" s="214"/>
      <c r="AH427" s="214"/>
      <c r="AI427" s="214"/>
      <c r="AJ427" s="214"/>
      <c r="AK427" s="214"/>
      <c r="AL427" s="214"/>
      <c r="AM427" s="214"/>
      <c r="AN427" s="214"/>
      <c r="AO427" s="214"/>
      <c r="AP427" s="214"/>
      <c r="AQ427" s="214"/>
      <c r="AR427" s="214"/>
      <c r="AS427" s="214"/>
      <c r="AT427" s="214"/>
      <c r="AU427" s="214"/>
      <c r="AV427" s="214"/>
      <c r="AW427" s="214"/>
      <c r="AX427" s="214"/>
      <c r="AY427" s="214"/>
      <c r="AZ427" s="214"/>
      <c r="BA427" s="214"/>
      <c r="BB427" s="214"/>
      <c r="BC427" s="214"/>
      <c r="BD427" s="214"/>
      <c r="BE427" s="214"/>
      <c r="BF427" s="214"/>
      <c r="BG427" s="214"/>
      <c r="BH427" s="214"/>
      <c r="BI427" s="214"/>
      <c r="BJ427" s="214"/>
      <c r="BK427" s="214"/>
      <c r="BL427" s="214"/>
      <c r="BM427" s="214"/>
      <c r="BN427" s="214"/>
      <c r="BO427" s="214"/>
      <c r="BP427" s="214"/>
      <c r="BQ427" s="214"/>
      <c r="BR427" s="214"/>
      <c r="BS427" s="214"/>
      <c r="BT427" s="214"/>
      <c r="BU427" s="214"/>
      <c r="BV427" s="214"/>
      <c r="BW427" s="214"/>
      <c r="BX427" s="214"/>
      <c r="BY427" s="214"/>
      <c r="BZ427" s="214"/>
      <c r="CA427" s="214"/>
      <c r="CB427" s="214"/>
      <c r="CC427" s="214"/>
      <c r="CD427" s="214"/>
      <c r="CE427" s="214"/>
      <c r="CF427" s="214"/>
      <c r="CG427" s="214"/>
      <c r="CH427" s="214"/>
      <c r="CI427" s="214"/>
      <c r="CJ427" s="214"/>
      <c r="CK427" s="214"/>
      <c r="CL427" s="214"/>
      <c r="CM427" s="214"/>
      <c r="CN427" s="214"/>
      <c r="CO427" s="214"/>
      <c r="CP427" s="214"/>
      <c r="CQ427" s="214"/>
      <c r="CR427" s="214"/>
      <c r="CS427" s="214"/>
      <c r="CT427" s="214"/>
      <c r="CU427" s="214"/>
      <c r="CV427" s="214"/>
      <c r="CW427" s="214"/>
      <c r="CX427" s="214"/>
      <c r="CY427" s="214"/>
      <c r="CZ427" s="214"/>
      <c r="DA427" s="214"/>
      <c r="DB427" s="214"/>
      <c r="DC427" s="214"/>
      <c r="DD427" s="214"/>
      <c r="DE427" s="214"/>
      <c r="DF427" s="214"/>
      <c r="DG427" s="214"/>
      <c r="DH427" s="214"/>
      <c r="DI427" s="214"/>
      <c r="DJ427" s="214"/>
      <c r="DK427" s="214"/>
      <c r="DL427" s="214"/>
      <c r="DM427" s="214"/>
      <c r="DN427" s="214"/>
      <c r="DO427" s="214"/>
      <c r="DP427" s="214"/>
      <c r="DQ427" s="214"/>
      <c r="DR427" s="214"/>
      <c r="DS427" s="214"/>
      <c r="DT427" s="214"/>
      <c r="DU427" s="214"/>
      <c r="DV427" s="214"/>
      <c r="DW427" s="214"/>
      <c r="DX427" s="214"/>
      <c r="DY427" s="214"/>
      <c r="DZ427" s="214"/>
      <c r="EA427" s="214"/>
      <c r="EB427" s="214"/>
      <c r="EC427" s="214"/>
    </row>
    <row r="428" spans="21:133" s="226" customFormat="1" x14ac:dyDescent="0.15">
      <c r="U428" s="214"/>
      <c r="V428" s="214"/>
      <c r="W428" s="214"/>
      <c r="X428" s="214"/>
      <c r="Y428" s="214"/>
      <c r="Z428" s="214"/>
      <c r="AA428" s="214"/>
      <c r="AB428" s="214"/>
      <c r="AC428" s="214"/>
      <c r="AD428" s="214"/>
      <c r="AE428" s="214"/>
      <c r="AF428" s="214"/>
      <c r="AG428" s="214"/>
      <c r="AH428" s="214"/>
      <c r="AI428" s="214"/>
      <c r="AJ428" s="214"/>
      <c r="AK428" s="214"/>
      <c r="AL428" s="214"/>
      <c r="AM428" s="214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4"/>
      <c r="BN428" s="214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4"/>
      <c r="CJ428" s="214"/>
      <c r="CK428" s="214"/>
      <c r="CL428" s="214"/>
      <c r="CM428" s="214"/>
      <c r="CN428" s="214"/>
      <c r="CO428" s="214"/>
      <c r="CP428" s="214"/>
      <c r="CQ428" s="214"/>
      <c r="CR428" s="214"/>
      <c r="CS428" s="214"/>
      <c r="CT428" s="214"/>
      <c r="CU428" s="214"/>
      <c r="CV428" s="214"/>
      <c r="CW428" s="214"/>
      <c r="CX428" s="214"/>
      <c r="CY428" s="214"/>
      <c r="CZ428" s="214"/>
      <c r="DA428" s="214"/>
      <c r="DB428" s="214"/>
      <c r="DC428" s="214"/>
      <c r="DD428" s="214"/>
      <c r="DE428" s="214"/>
      <c r="DF428" s="214"/>
      <c r="DG428" s="214"/>
      <c r="DH428" s="214"/>
      <c r="DI428" s="214"/>
      <c r="DJ428" s="214"/>
      <c r="DK428" s="214"/>
      <c r="DL428" s="214"/>
      <c r="DM428" s="214"/>
      <c r="DN428" s="214"/>
      <c r="DO428" s="214"/>
      <c r="DP428" s="214"/>
      <c r="DQ428" s="214"/>
      <c r="DR428" s="214"/>
      <c r="DS428" s="214"/>
      <c r="DT428" s="214"/>
      <c r="DU428" s="214"/>
      <c r="DV428" s="214"/>
      <c r="DW428" s="214"/>
      <c r="DX428" s="214"/>
      <c r="DY428" s="214"/>
      <c r="DZ428" s="214"/>
      <c r="EA428" s="214"/>
      <c r="EB428" s="214"/>
      <c r="EC428" s="214"/>
    </row>
    <row r="429" spans="21:133" s="226" customFormat="1" x14ac:dyDescent="0.15">
      <c r="U429" s="214"/>
      <c r="V429" s="214"/>
      <c r="W429" s="214"/>
      <c r="X429" s="214"/>
      <c r="Y429" s="214"/>
      <c r="Z429" s="214"/>
      <c r="AA429" s="214"/>
      <c r="AB429" s="214"/>
      <c r="AC429" s="214"/>
      <c r="AD429" s="214"/>
      <c r="AE429" s="214"/>
      <c r="AF429" s="214"/>
      <c r="AG429" s="214"/>
      <c r="AH429" s="214"/>
      <c r="AI429" s="214"/>
      <c r="AJ429" s="214"/>
      <c r="AK429" s="214"/>
      <c r="AL429" s="214"/>
      <c r="AM429" s="214"/>
      <c r="AN429" s="214"/>
      <c r="AO429" s="214"/>
      <c r="AP429" s="214"/>
      <c r="AQ429" s="214"/>
      <c r="AR429" s="214"/>
      <c r="AS429" s="214"/>
      <c r="AT429" s="214"/>
      <c r="AU429" s="214"/>
      <c r="AV429" s="214"/>
      <c r="AW429" s="214"/>
      <c r="AX429" s="214"/>
      <c r="AY429" s="214"/>
      <c r="AZ429" s="214"/>
      <c r="BA429" s="214"/>
      <c r="BB429" s="214"/>
      <c r="BC429" s="214"/>
      <c r="BD429" s="214"/>
      <c r="BE429" s="214"/>
      <c r="BF429" s="214"/>
      <c r="BG429" s="214"/>
      <c r="BH429" s="214"/>
      <c r="BI429" s="214"/>
      <c r="BJ429" s="214"/>
      <c r="BK429" s="214"/>
      <c r="BL429" s="214"/>
      <c r="BM429" s="214"/>
      <c r="BN429" s="214"/>
      <c r="BO429" s="214"/>
      <c r="BP429" s="214"/>
      <c r="BQ429" s="214"/>
      <c r="BR429" s="214"/>
      <c r="BS429" s="214"/>
      <c r="BT429" s="214"/>
      <c r="BU429" s="214"/>
      <c r="BV429" s="214"/>
      <c r="BW429" s="214"/>
      <c r="BX429" s="214"/>
      <c r="BY429" s="214"/>
      <c r="BZ429" s="214"/>
      <c r="CA429" s="214"/>
      <c r="CB429" s="214"/>
      <c r="CC429" s="214"/>
      <c r="CD429" s="214"/>
      <c r="CE429" s="214"/>
      <c r="CF429" s="214"/>
      <c r="CG429" s="214"/>
      <c r="CH429" s="214"/>
      <c r="CI429" s="214"/>
      <c r="CJ429" s="214"/>
      <c r="CK429" s="214"/>
      <c r="CL429" s="214"/>
      <c r="CM429" s="214"/>
      <c r="CN429" s="214"/>
      <c r="CO429" s="214"/>
      <c r="CP429" s="214"/>
      <c r="CQ429" s="214"/>
      <c r="CR429" s="214"/>
      <c r="CS429" s="214"/>
      <c r="CT429" s="214"/>
      <c r="CU429" s="214"/>
      <c r="CV429" s="214"/>
      <c r="CW429" s="214"/>
      <c r="CX429" s="214"/>
      <c r="CY429" s="214"/>
      <c r="CZ429" s="214"/>
      <c r="DA429" s="214"/>
      <c r="DB429" s="214"/>
      <c r="DC429" s="214"/>
      <c r="DD429" s="214"/>
      <c r="DE429" s="214"/>
      <c r="DF429" s="214"/>
      <c r="DG429" s="214"/>
      <c r="DH429" s="214"/>
      <c r="DI429" s="214"/>
      <c r="DJ429" s="214"/>
      <c r="DK429" s="214"/>
      <c r="DL429" s="214"/>
      <c r="DM429" s="214"/>
      <c r="DN429" s="214"/>
      <c r="DO429" s="214"/>
      <c r="DP429" s="214"/>
      <c r="DQ429" s="214"/>
      <c r="DR429" s="214"/>
      <c r="DS429" s="214"/>
      <c r="DT429" s="214"/>
      <c r="DU429" s="214"/>
      <c r="DV429" s="214"/>
      <c r="DW429" s="214"/>
      <c r="DX429" s="214"/>
      <c r="DY429" s="214"/>
      <c r="DZ429" s="214"/>
      <c r="EA429" s="214"/>
      <c r="EB429" s="214"/>
      <c r="EC429" s="214"/>
    </row>
    <row r="430" spans="21:133" s="226" customFormat="1" x14ac:dyDescent="0.15">
      <c r="U430" s="214"/>
      <c r="V430" s="214"/>
      <c r="W430" s="214"/>
      <c r="X430" s="214"/>
      <c r="Y430" s="214"/>
      <c r="Z430" s="214"/>
      <c r="AA430" s="214"/>
      <c r="AB430" s="214"/>
      <c r="AC430" s="214"/>
      <c r="AD430" s="214"/>
      <c r="AE430" s="214"/>
      <c r="AF430" s="214"/>
      <c r="AG430" s="214"/>
      <c r="AH430" s="214"/>
      <c r="AI430" s="214"/>
      <c r="AJ430" s="214"/>
      <c r="AK430" s="214"/>
      <c r="AL430" s="214"/>
      <c r="AM430" s="214"/>
      <c r="AN430" s="214"/>
      <c r="AO430" s="214"/>
      <c r="AP430" s="214"/>
      <c r="AQ430" s="214"/>
      <c r="AR430" s="214"/>
      <c r="AS430" s="214"/>
      <c r="AT430" s="214"/>
      <c r="AU430" s="214"/>
      <c r="AV430" s="214"/>
      <c r="AW430" s="214"/>
      <c r="AX430" s="214"/>
      <c r="AY430" s="214"/>
      <c r="AZ430" s="214"/>
      <c r="BA430" s="214"/>
      <c r="BB430" s="214"/>
      <c r="BC430" s="214"/>
      <c r="BD430" s="214"/>
      <c r="BE430" s="214"/>
      <c r="BF430" s="214"/>
      <c r="BG430" s="214"/>
      <c r="BH430" s="214"/>
      <c r="BI430" s="214"/>
      <c r="BJ430" s="214"/>
      <c r="BK430" s="214"/>
      <c r="BL430" s="214"/>
      <c r="BM430" s="214"/>
      <c r="BN430" s="214"/>
      <c r="BO430" s="214"/>
      <c r="BP430" s="214"/>
      <c r="BQ430" s="214"/>
      <c r="BR430" s="214"/>
      <c r="BS430" s="214"/>
      <c r="BT430" s="214"/>
      <c r="BU430" s="214"/>
      <c r="BV430" s="214"/>
      <c r="BW430" s="214"/>
      <c r="BX430" s="214"/>
      <c r="BY430" s="214"/>
      <c r="BZ430" s="214"/>
      <c r="CA430" s="214"/>
      <c r="CB430" s="214"/>
      <c r="CC430" s="214"/>
      <c r="CD430" s="214"/>
      <c r="CE430" s="214"/>
      <c r="CF430" s="214"/>
      <c r="CG430" s="214"/>
      <c r="CH430" s="214"/>
      <c r="CI430" s="214"/>
      <c r="CJ430" s="214"/>
      <c r="CK430" s="214"/>
      <c r="CL430" s="214"/>
      <c r="CM430" s="214"/>
      <c r="CN430" s="214"/>
      <c r="CO430" s="214"/>
      <c r="CP430" s="214"/>
      <c r="CQ430" s="214"/>
      <c r="CR430" s="214"/>
      <c r="CS430" s="214"/>
      <c r="CT430" s="214"/>
      <c r="CU430" s="214"/>
      <c r="CV430" s="214"/>
      <c r="CW430" s="214"/>
      <c r="CX430" s="214"/>
      <c r="CY430" s="214"/>
      <c r="CZ430" s="214"/>
      <c r="DA430" s="214"/>
      <c r="DB430" s="214"/>
      <c r="DC430" s="214"/>
      <c r="DD430" s="214"/>
      <c r="DE430" s="214"/>
      <c r="DF430" s="214"/>
      <c r="DG430" s="214"/>
      <c r="DH430" s="214"/>
      <c r="DI430" s="214"/>
      <c r="DJ430" s="214"/>
      <c r="DK430" s="214"/>
      <c r="DL430" s="214"/>
      <c r="DM430" s="214"/>
      <c r="DN430" s="214"/>
      <c r="DO430" s="214"/>
      <c r="DP430" s="214"/>
      <c r="DQ430" s="214"/>
      <c r="DR430" s="214"/>
      <c r="DS430" s="214"/>
      <c r="DT430" s="214"/>
      <c r="DU430" s="214"/>
      <c r="DV430" s="214"/>
      <c r="DW430" s="214"/>
      <c r="DX430" s="214"/>
      <c r="DY430" s="214"/>
      <c r="DZ430" s="214"/>
      <c r="EA430" s="214"/>
      <c r="EB430" s="214"/>
      <c r="EC430" s="214"/>
    </row>
    <row r="431" spans="21:133" s="226" customFormat="1" x14ac:dyDescent="0.15">
      <c r="U431" s="214"/>
      <c r="V431" s="214"/>
      <c r="W431" s="214"/>
      <c r="X431" s="214"/>
      <c r="Y431" s="214"/>
      <c r="Z431" s="214"/>
      <c r="AA431" s="214"/>
      <c r="AB431" s="214"/>
      <c r="AC431" s="214"/>
      <c r="AD431" s="214"/>
      <c r="AE431" s="214"/>
      <c r="AF431" s="214"/>
      <c r="AG431" s="214"/>
      <c r="AH431" s="214"/>
      <c r="AI431" s="214"/>
      <c r="AJ431" s="214"/>
      <c r="AK431" s="214"/>
      <c r="AL431" s="214"/>
      <c r="AM431" s="214"/>
      <c r="AN431" s="214"/>
      <c r="AO431" s="214"/>
      <c r="AP431" s="214"/>
      <c r="AQ431" s="214"/>
      <c r="AR431" s="214"/>
      <c r="AS431" s="214"/>
      <c r="AT431" s="214"/>
      <c r="AU431" s="214"/>
      <c r="AV431" s="214"/>
      <c r="AW431" s="214"/>
      <c r="AX431" s="214"/>
      <c r="AY431" s="214"/>
      <c r="AZ431" s="214"/>
      <c r="BA431" s="214"/>
      <c r="BB431" s="214"/>
      <c r="BC431" s="214"/>
      <c r="BD431" s="214"/>
      <c r="BE431" s="214"/>
      <c r="BF431" s="214"/>
      <c r="BG431" s="214"/>
      <c r="BH431" s="214"/>
      <c r="BI431" s="214"/>
      <c r="BJ431" s="214"/>
      <c r="BK431" s="214"/>
      <c r="BL431" s="214"/>
      <c r="BM431" s="214"/>
      <c r="BN431" s="214"/>
      <c r="BO431" s="214"/>
      <c r="BP431" s="214"/>
      <c r="BQ431" s="214"/>
      <c r="BR431" s="214"/>
      <c r="BS431" s="214"/>
      <c r="BT431" s="214"/>
      <c r="BU431" s="214"/>
      <c r="BV431" s="214"/>
      <c r="BW431" s="214"/>
      <c r="BX431" s="214"/>
      <c r="BY431" s="214"/>
      <c r="BZ431" s="214"/>
      <c r="CA431" s="214"/>
      <c r="CB431" s="214"/>
      <c r="CC431" s="214"/>
      <c r="CD431" s="214"/>
      <c r="CE431" s="214"/>
      <c r="CF431" s="214"/>
      <c r="CG431" s="214"/>
      <c r="CH431" s="214"/>
      <c r="CI431" s="214"/>
      <c r="CJ431" s="214"/>
      <c r="CK431" s="214"/>
      <c r="CL431" s="214"/>
      <c r="CM431" s="214"/>
      <c r="CN431" s="214"/>
      <c r="CO431" s="214"/>
      <c r="CP431" s="214"/>
      <c r="CQ431" s="214"/>
      <c r="CR431" s="214"/>
      <c r="CS431" s="214"/>
      <c r="CT431" s="214"/>
      <c r="CU431" s="214"/>
      <c r="CV431" s="214"/>
      <c r="CW431" s="214"/>
      <c r="CX431" s="214"/>
      <c r="CY431" s="214"/>
      <c r="CZ431" s="214"/>
      <c r="DA431" s="214"/>
      <c r="DB431" s="214"/>
      <c r="DC431" s="214"/>
      <c r="DD431" s="214"/>
      <c r="DE431" s="214"/>
      <c r="DF431" s="214"/>
      <c r="DG431" s="214"/>
      <c r="DH431" s="214"/>
      <c r="DI431" s="214"/>
      <c r="DJ431" s="214"/>
      <c r="DK431" s="214"/>
      <c r="DL431" s="214"/>
      <c r="DM431" s="214"/>
      <c r="DN431" s="214"/>
      <c r="DO431" s="214"/>
      <c r="DP431" s="214"/>
      <c r="DQ431" s="214"/>
      <c r="DR431" s="214"/>
      <c r="DS431" s="214"/>
      <c r="DT431" s="214"/>
      <c r="DU431" s="214"/>
      <c r="DV431" s="214"/>
      <c r="DW431" s="214"/>
      <c r="DX431" s="214"/>
      <c r="DY431" s="214"/>
      <c r="DZ431" s="214"/>
      <c r="EA431" s="214"/>
      <c r="EB431" s="214"/>
      <c r="EC431" s="214"/>
    </row>
    <row r="432" spans="21:133" s="226" customFormat="1" x14ac:dyDescent="0.15">
      <c r="U432" s="214"/>
      <c r="V432" s="214"/>
      <c r="W432" s="214"/>
      <c r="X432" s="214"/>
      <c r="Y432" s="214"/>
      <c r="Z432" s="214"/>
      <c r="AA432" s="214"/>
      <c r="AB432" s="214"/>
      <c r="AC432" s="214"/>
      <c r="AD432" s="214"/>
      <c r="AE432" s="214"/>
      <c r="AF432" s="214"/>
      <c r="AG432" s="214"/>
      <c r="AH432" s="214"/>
      <c r="AI432" s="214"/>
      <c r="AJ432" s="214"/>
      <c r="AK432" s="214"/>
      <c r="AL432" s="214"/>
      <c r="AM432" s="214"/>
      <c r="AN432" s="214"/>
      <c r="AO432" s="214"/>
      <c r="AP432" s="214"/>
      <c r="AQ432" s="214"/>
      <c r="AR432" s="214"/>
      <c r="AS432" s="214"/>
      <c r="AT432" s="214"/>
      <c r="AU432" s="214"/>
      <c r="AV432" s="214"/>
      <c r="AW432" s="214"/>
      <c r="AX432" s="214"/>
      <c r="AY432" s="214"/>
      <c r="AZ432" s="214"/>
      <c r="BA432" s="214"/>
      <c r="BB432" s="214"/>
      <c r="BC432" s="214"/>
      <c r="BD432" s="214"/>
      <c r="BE432" s="214"/>
      <c r="BF432" s="214"/>
      <c r="BG432" s="214"/>
      <c r="BH432" s="214"/>
      <c r="BI432" s="214"/>
      <c r="BJ432" s="214"/>
      <c r="BK432" s="214"/>
      <c r="BL432" s="214"/>
      <c r="BM432" s="214"/>
      <c r="BN432" s="214"/>
      <c r="BO432" s="214"/>
      <c r="BP432" s="214"/>
      <c r="BQ432" s="214"/>
      <c r="BR432" s="214"/>
      <c r="BS432" s="214"/>
      <c r="BT432" s="214"/>
      <c r="BU432" s="214"/>
      <c r="BV432" s="214"/>
      <c r="BW432" s="214"/>
      <c r="BX432" s="214"/>
      <c r="BY432" s="214"/>
      <c r="BZ432" s="214"/>
      <c r="CA432" s="214"/>
      <c r="CB432" s="214"/>
      <c r="CC432" s="214"/>
      <c r="CD432" s="214"/>
      <c r="CE432" s="214"/>
      <c r="CF432" s="214"/>
      <c r="CG432" s="214"/>
      <c r="CH432" s="214"/>
      <c r="CI432" s="214"/>
      <c r="CJ432" s="214"/>
      <c r="CK432" s="214"/>
      <c r="CL432" s="214"/>
      <c r="CM432" s="214"/>
      <c r="CN432" s="214"/>
      <c r="CO432" s="214"/>
      <c r="CP432" s="214"/>
      <c r="CQ432" s="214"/>
      <c r="CR432" s="214"/>
      <c r="CS432" s="214"/>
      <c r="CT432" s="214"/>
      <c r="CU432" s="214"/>
      <c r="CV432" s="214"/>
      <c r="CW432" s="214"/>
      <c r="CX432" s="214"/>
      <c r="CY432" s="214"/>
      <c r="CZ432" s="214"/>
      <c r="DA432" s="214"/>
      <c r="DB432" s="214"/>
      <c r="DC432" s="214"/>
      <c r="DD432" s="214"/>
      <c r="DE432" s="214"/>
      <c r="DF432" s="214"/>
      <c r="DG432" s="214"/>
      <c r="DH432" s="214"/>
      <c r="DI432" s="214"/>
      <c r="DJ432" s="214"/>
      <c r="DK432" s="214"/>
      <c r="DL432" s="214"/>
      <c r="DM432" s="214"/>
      <c r="DN432" s="214"/>
      <c r="DO432" s="214"/>
      <c r="DP432" s="214"/>
      <c r="DQ432" s="214"/>
      <c r="DR432" s="214"/>
      <c r="DS432" s="214"/>
      <c r="DT432" s="214"/>
      <c r="DU432" s="214"/>
      <c r="DV432" s="214"/>
      <c r="DW432" s="214"/>
      <c r="DX432" s="214"/>
      <c r="DY432" s="214"/>
      <c r="DZ432" s="214"/>
      <c r="EA432" s="214"/>
      <c r="EB432" s="214"/>
      <c r="EC432" s="214"/>
    </row>
    <row r="433" spans="21:133" s="226" customFormat="1" x14ac:dyDescent="0.15">
      <c r="U433" s="214"/>
      <c r="V433" s="214"/>
      <c r="W433" s="214"/>
      <c r="X433" s="214"/>
      <c r="Y433" s="214"/>
      <c r="Z433" s="214"/>
      <c r="AA433" s="214"/>
      <c r="AB433" s="214"/>
      <c r="AC433" s="214"/>
      <c r="AD433" s="214"/>
      <c r="AE433" s="214"/>
      <c r="AF433" s="214"/>
      <c r="AG433" s="214"/>
      <c r="AH433" s="214"/>
      <c r="AI433" s="214"/>
      <c r="AJ433" s="214"/>
      <c r="AK433" s="214"/>
      <c r="AL433" s="214"/>
      <c r="AM433" s="214"/>
      <c r="AN433" s="214"/>
      <c r="AO433" s="214"/>
      <c r="AP433" s="214"/>
      <c r="AQ433" s="214"/>
      <c r="AR433" s="214"/>
      <c r="AS433" s="214"/>
      <c r="AT433" s="214"/>
      <c r="AU433" s="214"/>
      <c r="AV433" s="214"/>
      <c r="AW433" s="214"/>
      <c r="AX433" s="214"/>
      <c r="AY433" s="214"/>
      <c r="AZ433" s="214"/>
      <c r="BA433" s="214"/>
      <c r="BB433" s="214"/>
      <c r="BC433" s="214"/>
      <c r="BD433" s="214"/>
      <c r="BE433" s="214"/>
      <c r="BF433" s="214"/>
      <c r="BG433" s="214"/>
      <c r="BH433" s="214"/>
      <c r="BI433" s="214"/>
      <c r="BJ433" s="214"/>
      <c r="BK433" s="214"/>
      <c r="BL433" s="214"/>
      <c r="BM433" s="214"/>
      <c r="BN433" s="214"/>
      <c r="BO433" s="214"/>
      <c r="BP433" s="214"/>
      <c r="BQ433" s="214"/>
      <c r="BR433" s="214"/>
      <c r="BS433" s="214"/>
      <c r="BT433" s="214"/>
      <c r="BU433" s="214"/>
      <c r="BV433" s="214"/>
      <c r="BW433" s="214"/>
      <c r="BX433" s="214"/>
      <c r="BY433" s="214"/>
      <c r="BZ433" s="214"/>
      <c r="CA433" s="214"/>
      <c r="CB433" s="214"/>
      <c r="CC433" s="214"/>
      <c r="CD433" s="214"/>
      <c r="CE433" s="214"/>
      <c r="CF433" s="214"/>
      <c r="CG433" s="214"/>
      <c r="CH433" s="214"/>
      <c r="CI433" s="214"/>
      <c r="CJ433" s="214"/>
      <c r="CK433" s="214"/>
      <c r="CL433" s="214"/>
      <c r="CM433" s="214"/>
      <c r="CN433" s="214"/>
      <c r="CO433" s="214"/>
      <c r="CP433" s="214"/>
      <c r="CQ433" s="214"/>
      <c r="CR433" s="214"/>
      <c r="CS433" s="214"/>
      <c r="CT433" s="214"/>
      <c r="CU433" s="214"/>
      <c r="CV433" s="214"/>
      <c r="CW433" s="214"/>
      <c r="CX433" s="214"/>
      <c r="CY433" s="214"/>
      <c r="CZ433" s="214"/>
      <c r="DA433" s="214"/>
      <c r="DB433" s="214"/>
      <c r="DC433" s="214"/>
      <c r="DD433" s="214"/>
      <c r="DE433" s="214"/>
      <c r="DF433" s="214"/>
      <c r="DG433" s="214"/>
      <c r="DH433" s="214"/>
      <c r="DI433" s="214"/>
      <c r="DJ433" s="214"/>
      <c r="DK433" s="214"/>
      <c r="DL433" s="214"/>
      <c r="DM433" s="214"/>
      <c r="DN433" s="214"/>
      <c r="DO433" s="214"/>
      <c r="DP433" s="214"/>
      <c r="DQ433" s="214"/>
      <c r="DR433" s="214"/>
      <c r="DS433" s="214"/>
      <c r="DT433" s="214"/>
      <c r="DU433" s="214"/>
      <c r="DV433" s="214"/>
      <c r="DW433" s="214"/>
      <c r="DX433" s="214"/>
      <c r="DY433" s="214"/>
      <c r="DZ433" s="214"/>
      <c r="EA433" s="214"/>
      <c r="EB433" s="214"/>
      <c r="EC433" s="214"/>
    </row>
    <row r="434" spans="21:133" s="226" customFormat="1" x14ac:dyDescent="0.15">
      <c r="U434" s="214"/>
      <c r="V434" s="214"/>
      <c r="W434" s="214"/>
      <c r="X434" s="214"/>
      <c r="Y434" s="214"/>
      <c r="Z434" s="214"/>
      <c r="AA434" s="214"/>
      <c r="AB434" s="214"/>
      <c r="AC434" s="214"/>
      <c r="AD434" s="214"/>
      <c r="AE434" s="214"/>
      <c r="AF434" s="214"/>
      <c r="AG434" s="214"/>
      <c r="AH434" s="214"/>
      <c r="AI434" s="214"/>
      <c r="AJ434" s="214"/>
      <c r="AK434" s="214"/>
      <c r="AL434" s="214"/>
      <c r="AM434" s="214"/>
      <c r="AN434" s="214"/>
      <c r="AO434" s="214"/>
      <c r="AP434" s="214"/>
      <c r="AQ434" s="214"/>
      <c r="AR434" s="214"/>
      <c r="AS434" s="214"/>
      <c r="AT434" s="214"/>
      <c r="AU434" s="214"/>
      <c r="AV434" s="214"/>
      <c r="AW434" s="214"/>
      <c r="AX434" s="214"/>
      <c r="AY434" s="214"/>
      <c r="AZ434" s="214"/>
      <c r="BA434" s="214"/>
      <c r="BB434" s="214"/>
      <c r="BC434" s="214"/>
      <c r="BD434" s="214"/>
      <c r="BE434" s="214"/>
      <c r="BF434" s="214"/>
      <c r="BG434" s="214"/>
      <c r="BH434" s="214"/>
      <c r="BI434" s="214"/>
      <c r="BJ434" s="214"/>
      <c r="BK434" s="214"/>
      <c r="BL434" s="214"/>
      <c r="BM434" s="214"/>
      <c r="BN434" s="214"/>
      <c r="BO434" s="214"/>
      <c r="BP434" s="214"/>
      <c r="BQ434" s="214"/>
      <c r="BR434" s="214"/>
      <c r="BS434" s="214"/>
      <c r="BT434" s="214"/>
      <c r="BU434" s="214"/>
      <c r="BV434" s="214"/>
      <c r="BW434" s="214"/>
      <c r="BX434" s="214"/>
      <c r="BY434" s="214"/>
      <c r="BZ434" s="214"/>
      <c r="CA434" s="214"/>
      <c r="CB434" s="214"/>
      <c r="CC434" s="214"/>
      <c r="CD434" s="214"/>
      <c r="CE434" s="214"/>
      <c r="CF434" s="214"/>
      <c r="CG434" s="214"/>
      <c r="CH434" s="214"/>
      <c r="CI434" s="214"/>
      <c r="CJ434" s="214"/>
      <c r="CK434" s="214"/>
      <c r="CL434" s="214"/>
      <c r="CM434" s="214"/>
      <c r="CN434" s="214"/>
      <c r="CO434" s="214"/>
      <c r="CP434" s="214"/>
      <c r="CQ434" s="214"/>
      <c r="CR434" s="214"/>
      <c r="CS434" s="214"/>
      <c r="CT434" s="214"/>
      <c r="CU434" s="214"/>
      <c r="CV434" s="214"/>
      <c r="CW434" s="214"/>
      <c r="CX434" s="214"/>
      <c r="CY434" s="214"/>
      <c r="CZ434" s="214"/>
      <c r="DA434" s="214"/>
      <c r="DB434" s="214"/>
      <c r="DC434" s="214"/>
      <c r="DD434" s="214"/>
      <c r="DE434" s="214"/>
      <c r="DF434" s="214"/>
      <c r="DG434" s="214"/>
      <c r="DH434" s="214"/>
      <c r="DI434" s="214"/>
      <c r="DJ434" s="214"/>
      <c r="DK434" s="214"/>
      <c r="DL434" s="214"/>
      <c r="DM434" s="214"/>
      <c r="DN434" s="214"/>
      <c r="DO434" s="214"/>
      <c r="DP434" s="214"/>
      <c r="DQ434" s="214"/>
      <c r="DR434" s="214"/>
      <c r="DS434" s="214"/>
      <c r="DT434" s="214"/>
      <c r="DU434" s="214"/>
      <c r="DV434" s="214"/>
      <c r="DW434" s="214"/>
      <c r="DX434" s="214"/>
      <c r="DY434" s="214"/>
      <c r="DZ434" s="214"/>
      <c r="EA434" s="214"/>
      <c r="EB434" s="214"/>
      <c r="EC434" s="214"/>
    </row>
    <row r="435" spans="21:133" s="226" customFormat="1" x14ac:dyDescent="0.15">
      <c r="U435" s="214"/>
      <c r="V435" s="214"/>
      <c r="W435" s="214"/>
      <c r="X435" s="214"/>
      <c r="Y435" s="214"/>
      <c r="Z435" s="214"/>
      <c r="AA435" s="214"/>
      <c r="AB435" s="214"/>
      <c r="AC435" s="214"/>
      <c r="AD435" s="214"/>
      <c r="AE435" s="214"/>
      <c r="AF435" s="214"/>
      <c r="AG435" s="214"/>
      <c r="AH435" s="214"/>
      <c r="AI435" s="214"/>
      <c r="AJ435" s="214"/>
      <c r="AK435" s="214"/>
      <c r="AL435" s="214"/>
      <c r="AM435" s="214"/>
      <c r="AN435" s="214"/>
      <c r="AO435" s="214"/>
      <c r="AP435" s="214"/>
      <c r="AQ435" s="214"/>
      <c r="AR435" s="214"/>
      <c r="AS435" s="214"/>
      <c r="AT435" s="214"/>
      <c r="AU435" s="214"/>
      <c r="AV435" s="214"/>
      <c r="AW435" s="214"/>
      <c r="AX435" s="214"/>
      <c r="AY435" s="214"/>
      <c r="AZ435" s="214"/>
      <c r="BA435" s="214"/>
      <c r="BB435" s="214"/>
      <c r="BC435" s="214"/>
      <c r="BD435" s="214"/>
      <c r="BE435" s="214"/>
      <c r="BF435" s="214"/>
      <c r="BG435" s="214"/>
      <c r="BH435" s="214"/>
      <c r="BI435" s="214"/>
      <c r="BJ435" s="214"/>
      <c r="BK435" s="214"/>
      <c r="BL435" s="214"/>
      <c r="BM435" s="214"/>
      <c r="BN435" s="214"/>
      <c r="BO435" s="214"/>
      <c r="BP435" s="214"/>
      <c r="BQ435" s="214"/>
      <c r="BR435" s="214"/>
      <c r="BS435" s="214"/>
      <c r="BT435" s="214"/>
      <c r="BU435" s="214"/>
      <c r="BV435" s="214"/>
      <c r="BW435" s="214"/>
      <c r="BX435" s="214"/>
      <c r="BY435" s="214"/>
      <c r="BZ435" s="214"/>
      <c r="CA435" s="214"/>
      <c r="CB435" s="214"/>
      <c r="CC435" s="214"/>
      <c r="CD435" s="214"/>
      <c r="CE435" s="214"/>
      <c r="CF435" s="214"/>
      <c r="CG435" s="214"/>
      <c r="CH435" s="214"/>
      <c r="CI435" s="214"/>
      <c r="CJ435" s="214"/>
      <c r="CK435" s="214"/>
      <c r="CL435" s="214"/>
      <c r="CM435" s="214"/>
      <c r="CN435" s="214"/>
      <c r="CO435" s="214"/>
      <c r="CP435" s="214"/>
      <c r="CQ435" s="214"/>
      <c r="CR435" s="214"/>
      <c r="CS435" s="214"/>
      <c r="CT435" s="214"/>
      <c r="CU435" s="214"/>
      <c r="CV435" s="214"/>
      <c r="CW435" s="214"/>
      <c r="CX435" s="214"/>
      <c r="CY435" s="214"/>
      <c r="CZ435" s="214"/>
      <c r="DA435" s="214"/>
      <c r="DB435" s="214"/>
      <c r="DC435" s="214"/>
      <c r="DD435" s="214"/>
      <c r="DE435" s="214"/>
      <c r="DF435" s="214"/>
      <c r="DG435" s="214"/>
      <c r="DH435" s="214"/>
      <c r="DI435" s="214"/>
      <c r="DJ435" s="214"/>
      <c r="DK435" s="214"/>
      <c r="DL435" s="214"/>
      <c r="DM435" s="214"/>
      <c r="DN435" s="214"/>
      <c r="DO435" s="214"/>
      <c r="DP435" s="214"/>
      <c r="DQ435" s="214"/>
      <c r="DR435" s="214"/>
      <c r="DS435" s="214"/>
      <c r="DT435" s="214"/>
      <c r="DU435" s="214"/>
      <c r="DV435" s="214"/>
      <c r="DW435" s="214"/>
      <c r="DX435" s="214"/>
      <c r="DY435" s="214"/>
      <c r="DZ435" s="214"/>
      <c r="EA435" s="214"/>
      <c r="EB435" s="214"/>
      <c r="EC435" s="214"/>
    </row>
    <row r="436" spans="21:133" s="226" customFormat="1" x14ac:dyDescent="0.15">
      <c r="U436" s="214"/>
      <c r="V436" s="214"/>
      <c r="W436" s="214"/>
      <c r="X436" s="214"/>
      <c r="Y436" s="214"/>
      <c r="Z436" s="214"/>
      <c r="AA436" s="214"/>
      <c r="AB436" s="214"/>
      <c r="AC436" s="214"/>
      <c r="AD436" s="214"/>
      <c r="AE436" s="214"/>
      <c r="AF436" s="214"/>
      <c r="AG436" s="214"/>
      <c r="AH436" s="214"/>
      <c r="AI436" s="214"/>
      <c r="AJ436" s="214"/>
      <c r="AK436" s="214"/>
      <c r="AL436" s="214"/>
      <c r="AM436" s="214"/>
      <c r="AN436" s="214"/>
      <c r="AO436" s="214"/>
      <c r="AP436" s="214"/>
      <c r="AQ436" s="214"/>
      <c r="AR436" s="214"/>
      <c r="AS436" s="214"/>
      <c r="AT436" s="214"/>
      <c r="AU436" s="214"/>
      <c r="AV436" s="214"/>
      <c r="AW436" s="214"/>
      <c r="AX436" s="214"/>
      <c r="AY436" s="214"/>
      <c r="AZ436" s="214"/>
      <c r="BA436" s="214"/>
      <c r="BB436" s="214"/>
      <c r="BC436" s="214"/>
      <c r="BD436" s="214"/>
      <c r="BE436" s="214"/>
      <c r="BF436" s="214"/>
      <c r="BG436" s="214"/>
      <c r="BH436" s="214"/>
      <c r="BI436" s="214"/>
      <c r="BJ436" s="214"/>
      <c r="BK436" s="214"/>
      <c r="BL436" s="214"/>
      <c r="BM436" s="214"/>
      <c r="BN436" s="214"/>
      <c r="BO436" s="214"/>
      <c r="BP436" s="214"/>
      <c r="BQ436" s="214"/>
      <c r="BR436" s="214"/>
      <c r="BS436" s="214"/>
      <c r="BT436" s="214"/>
      <c r="BU436" s="214"/>
      <c r="BV436" s="214"/>
      <c r="BW436" s="214"/>
      <c r="BX436" s="214"/>
      <c r="BY436" s="214"/>
      <c r="BZ436" s="214"/>
      <c r="CA436" s="214"/>
      <c r="CB436" s="214"/>
      <c r="CC436" s="214"/>
      <c r="CD436" s="214"/>
      <c r="CE436" s="214"/>
      <c r="CF436" s="214"/>
      <c r="CG436" s="214"/>
      <c r="CH436" s="214"/>
      <c r="CI436" s="214"/>
      <c r="CJ436" s="214"/>
      <c r="CK436" s="214"/>
      <c r="CL436" s="214"/>
      <c r="CM436" s="214"/>
      <c r="CN436" s="214"/>
      <c r="CO436" s="214"/>
      <c r="CP436" s="214"/>
      <c r="CQ436" s="214"/>
      <c r="CR436" s="214"/>
      <c r="CS436" s="214"/>
      <c r="CT436" s="214"/>
      <c r="CU436" s="214"/>
      <c r="CV436" s="214"/>
      <c r="CW436" s="214"/>
      <c r="CX436" s="214"/>
      <c r="CY436" s="214"/>
      <c r="CZ436" s="214"/>
      <c r="DA436" s="214"/>
      <c r="DB436" s="214"/>
      <c r="DC436" s="214"/>
      <c r="DD436" s="214"/>
      <c r="DE436" s="214"/>
      <c r="DF436" s="214"/>
      <c r="DG436" s="214"/>
      <c r="DH436" s="214"/>
      <c r="DI436" s="214"/>
      <c r="DJ436" s="214"/>
      <c r="DK436" s="214"/>
      <c r="DL436" s="214"/>
      <c r="DM436" s="214"/>
      <c r="DN436" s="214"/>
      <c r="DO436" s="214"/>
      <c r="DP436" s="214"/>
      <c r="DQ436" s="214"/>
      <c r="DR436" s="214"/>
      <c r="DS436" s="214"/>
      <c r="DT436" s="214"/>
      <c r="DU436" s="214"/>
      <c r="DV436" s="214"/>
      <c r="DW436" s="214"/>
      <c r="DX436" s="214"/>
      <c r="DY436" s="214"/>
      <c r="DZ436" s="214"/>
      <c r="EA436" s="214"/>
      <c r="EB436" s="214"/>
      <c r="EC436" s="214"/>
    </row>
    <row r="437" spans="21:133" s="226" customFormat="1" x14ac:dyDescent="0.15">
      <c r="U437" s="214"/>
      <c r="V437" s="214"/>
      <c r="W437" s="214"/>
      <c r="X437" s="214"/>
      <c r="Y437" s="214"/>
      <c r="Z437" s="214"/>
      <c r="AA437" s="214"/>
      <c r="AB437" s="214"/>
      <c r="AC437" s="214"/>
      <c r="AD437" s="214"/>
      <c r="AE437" s="214"/>
      <c r="AF437" s="214"/>
      <c r="AG437" s="214"/>
      <c r="AH437" s="214"/>
      <c r="AI437" s="214"/>
      <c r="AJ437" s="214"/>
      <c r="AK437" s="214"/>
      <c r="AL437" s="214"/>
      <c r="AM437" s="214"/>
      <c r="AN437" s="214"/>
      <c r="AO437" s="214"/>
      <c r="AP437" s="214"/>
      <c r="AQ437" s="214"/>
      <c r="AR437" s="214"/>
      <c r="AS437" s="214"/>
      <c r="AT437" s="214"/>
      <c r="AU437" s="214"/>
      <c r="AV437" s="214"/>
      <c r="AW437" s="214"/>
      <c r="AX437" s="214"/>
      <c r="AY437" s="214"/>
      <c r="AZ437" s="214"/>
      <c r="BA437" s="214"/>
      <c r="BB437" s="214"/>
      <c r="BC437" s="214"/>
      <c r="BD437" s="214"/>
      <c r="BE437" s="214"/>
      <c r="BF437" s="214"/>
      <c r="BG437" s="214"/>
      <c r="BH437" s="214"/>
      <c r="BI437" s="214"/>
      <c r="BJ437" s="214"/>
      <c r="BK437" s="214"/>
      <c r="BL437" s="214"/>
      <c r="BM437" s="214"/>
      <c r="BN437" s="214"/>
      <c r="BO437" s="214"/>
      <c r="BP437" s="214"/>
      <c r="BQ437" s="214"/>
      <c r="BR437" s="214"/>
      <c r="BS437" s="214"/>
      <c r="BT437" s="214"/>
      <c r="BU437" s="214"/>
      <c r="BV437" s="214"/>
      <c r="BW437" s="214"/>
      <c r="BX437" s="214"/>
      <c r="BY437" s="214"/>
      <c r="BZ437" s="214"/>
      <c r="CA437" s="214"/>
      <c r="CB437" s="214"/>
      <c r="CC437" s="214"/>
      <c r="CD437" s="214"/>
      <c r="CE437" s="214"/>
      <c r="CF437" s="214"/>
      <c r="CG437" s="214"/>
      <c r="CH437" s="214"/>
      <c r="CI437" s="214"/>
      <c r="CJ437" s="214"/>
      <c r="CK437" s="214"/>
      <c r="CL437" s="214"/>
      <c r="CM437" s="214"/>
      <c r="CN437" s="214"/>
      <c r="CO437" s="214"/>
      <c r="CP437" s="214"/>
      <c r="CQ437" s="214"/>
      <c r="CR437" s="214"/>
      <c r="CS437" s="214"/>
      <c r="CT437" s="214"/>
      <c r="CU437" s="214"/>
      <c r="CV437" s="214"/>
      <c r="CW437" s="214"/>
      <c r="CX437" s="214"/>
      <c r="CY437" s="214"/>
      <c r="CZ437" s="214"/>
      <c r="DA437" s="214"/>
      <c r="DB437" s="214"/>
      <c r="DC437" s="214"/>
      <c r="DD437" s="214"/>
      <c r="DE437" s="214"/>
      <c r="DF437" s="214"/>
      <c r="DG437" s="214"/>
      <c r="DH437" s="214"/>
      <c r="DI437" s="214"/>
      <c r="DJ437" s="214"/>
      <c r="DK437" s="214"/>
      <c r="DL437" s="214"/>
      <c r="DM437" s="214"/>
      <c r="DN437" s="214"/>
      <c r="DO437" s="214"/>
      <c r="DP437" s="214"/>
      <c r="DQ437" s="214"/>
      <c r="DR437" s="214"/>
      <c r="DS437" s="214"/>
      <c r="DT437" s="214"/>
      <c r="DU437" s="214"/>
      <c r="DV437" s="214"/>
      <c r="DW437" s="214"/>
      <c r="DX437" s="214"/>
      <c r="DY437" s="214"/>
      <c r="DZ437" s="214"/>
      <c r="EA437" s="214"/>
      <c r="EB437" s="214"/>
      <c r="EC437" s="214"/>
    </row>
    <row r="438" spans="21:133" s="226" customFormat="1" x14ac:dyDescent="0.15">
      <c r="U438" s="214"/>
      <c r="V438" s="214"/>
      <c r="W438" s="214"/>
      <c r="X438" s="214"/>
      <c r="Y438" s="214"/>
      <c r="Z438" s="214"/>
      <c r="AA438" s="214"/>
      <c r="AB438" s="214"/>
      <c r="AC438" s="214"/>
      <c r="AD438" s="214"/>
      <c r="AE438" s="214"/>
      <c r="AF438" s="214"/>
      <c r="AG438" s="214"/>
      <c r="AH438" s="214"/>
      <c r="AI438" s="214"/>
      <c r="AJ438" s="214"/>
      <c r="AK438" s="214"/>
      <c r="AL438" s="214"/>
      <c r="AM438" s="214"/>
      <c r="AN438" s="214"/>
      <c r="AO438" s="214"/>
      <c r="AP438" s="214"/>
      <c r="AQ438" s="214"/>
      <c r="AR438" s="214"/>
      <c r="AS438" s="214"/>
      <c r="AT438" s="214"/>
      <c r="AU438" s="214"/>
      <c r="AV438" s="214"/>
      <c r="AW438" s="214"/>
      <c r="AX438" s="214"/>
      <c r="AY438" s="214"/>
      <c r="AZ438" s="214"/>
      <c r="BA438" s="214"/>
      <c r="BB438" s="214"/>
      <c r="BC438" s="214"/>
      <c r="BD438" s="214"/>
      <c r="BE438" s="214"/>
      <c r="BF438" s="214"/>
      <c r="BG438" s="214"/>
      <c r="BH438" s="214"/>
      <c r="BI438" s="214"/>
      <c r="BJ438" s="214"/>
      <c r="BK438" s="214"/>
      <c r="BL438" s="214"/>
      <c r="BM438" s="214"/>
      <c r="BN438" s="214"/>
      <c r="BO438" s="214"/>
      <c r="BP438" s="214"/>
      <c r="BQ438" s="214"/>
      <c r="BR438" s="214"/>
      <c r="BS438" s="214"/>
      <c r="BT438" s="214"/>
      <c r="BU438" s="214"/>
      <c r="BV438" s="214"/>
      <c r="BW438" s="214"/>
      <c r="BX438" s="214"/>
      <c r="BY438" s="214"/>
      <c r="BZ438" s="214"/>
      <c r="CA438" s="214"/>
      <c r="CB438" s="214"/>
      <c r="CC438" s="214"/>
      <c r="CD438" s="214"/>
      <c r="CE438" s="214"/>
      <c r="CF438" s="214"/>
      <c r="CG438" s="214"/>
      <c r="CH438" s="214"/>
      <c r="CI438" s="214"/>
      <c r="CJ438" s="214"/>
      <c r="CK438" s="214"/>
      <c r="CL438" s="214"/>
      <c r="CM438" s="214"/>
      <c r="CN438" s="214"/>
      <c r="CO438" s="214"/>
      <c r="CP438" s="214"/>
      <c r="CQ438" s="214"/>
      <c r="CR438" s="214"/>
      <c r="CS438" s="214"/>
      <c r="CT438" s="214"/>
      <c r="CU438" s="214"/>
      <c r="CV438" s="214"/>
      <c r="CW438" s="214"/>
      <c r="CX438" s="214"/>
      <c r="CY438" s="214"/>
      <c r="CZ438" s="214"/>
      <c r="DA438" s="214"/>
      <c r="DB438" s="214"/>
      <c r="DC438" s="214"/>
      <c r="DD438" s="214"/>
      <c r="DE438" s="214"/>
      <c r="DF438" s="214"/>
      <c r="DG438" s="214"/>
      <c r="DH438" s="214"/>
      <c r="DI438" s="214"/>
      <c r="DJ438" s="214"/>
      <c r="DK438" s="214"/>
      <c r="DL438" s="214"/>
      <c r="DM438" s="214"/>
      <c r="DN438" s="214"/>
      <c r="DO438" s="214"/>
      <c r="DP438" s="214"/>
      <c r="DQ438" s="214"/>
      <c r="DR438" s="214"/>
      <c r="DS438" s="214"/>
      <c r="DT438" s="214"/>
      <c r="DU438" s="214"/>
      <c r="DV438" s="214"/>
      <c r="DW438" s="214"/>
      <c r="DX438" s="214"/>
      <c r="DY438" s="214"/>
      <c r="DZ438" s="214"/>
      <c r="EA438" s="214"/>
      <c r="EB438" s="214"/>
      <c r="EC438" s="214"/>
    </row>
    <row r="439" spans="21:133" s="226" customFormat="1" x14ac:dyDescent="0.15">
      <c r="U439" s="214"/>
      <c r="V439" s="214"/>
      <c r="W439" s="214"/>
      <c r="X439" s="214"/>
      <c r="Y439" s="214"/>
      <c r="Z439" s="214"/>
      <c r="AA439" s="214"/>
      <c r="AB439" s="214"/>
      <c r="AC439" s="214"/>
      <c r="AD439" s="214"/>
      <c r="AE439" s="214"/>
      <c r="AF439" s="214"/>
      <c r="AG439" s="214"/>
      <c r="AH439" s="214"/>
      <c r="AI439" s="214"/>
      <c r="AJ439" s="214"/>
      <c r="AK439" s="214"/>
      <c r="AL439" s="214"/>
      <c r="AM439" s="214"/>
      <c r="AN439" s="214"/>
      <c r="AO439" s="214"/>
      <c r="AP439" s="214"/>
      <c r="AQ439" s="214"/>
      <c r="AR439" s="214"/>
      <c r="AS439" s="214"/>
      <c r="AT439" s="214"/>
      <c r="AU439" s="214"/>
      <c r="AV439" s="214"/>
      <c r="AW439" s="214"/>
      <c r="AX439" s="214"/>
      <c r="AY439" s="214"/>
      <c r="AZ439" s="214"/>
      <c r="BA439" s="214"/>
      <c r="BB439" s="214"/>
      <c r="BC439" s="214"/>
      <c r="BD439" s="214"/>
      <c r="BE439" s="214"/>
      <c r="BF439" s="214"/>
      <c r="BG439" s="214"/>
      <c r="BH439" s="214"/>
      <c r="BI439" s="214"/>
      <c r="BJ439" s="214"/>
      <c r="BK439" s="214"/>
      <c r="BL439" s="214"/>
      <c r="BM439" s="214"/>
      <c r="BN439" s="214"/>
      <c r="BO439" s="214"/>
      <c r="BP439" s="214"/>
      <c r="BQ439" s="214"/>
      <c r="BR439" s="214"/>
      <c r="BS439" s="214"/>
      <c r="BT439" s="214"/>
      <c r="BU439" s="214"/>
      <c r="BV439" s="214"/>
      <c r="BW439" s="214"/>
      <c r="BX439" s="214"/>
      <c r="BY439" s="214"/>
      <c r="BZ439" s="214"/>
      <c r="CA439" s="214"/>
      <c r="CB439" s="214"/>
      <c r="CC439" s="214"/>
      <c r="CD439" s="214"/>
      <c r="CE439" s="214"/>
      <c r="CF439" s="214"/>
      <c r="CG439" s="214"/>
      <c r="CH439" s="214"/>
      <c r="CI439" s="214"/>
      <c r="CJ439" s="214"/>
      <c r="CK439" s="214"/>
      <c r="CL439" s="214"/>
      <c r="CM439" s="214"/>
      <c r="CN439" s="214"/>
      <c r="CO439" s="214"/>
      <c r="CP439" s="214"/>
      <c r="CQ439" s="214"/>
      <c r="CR439" s="214"/>
      <c r="CS439" s="214"/>
      <c r="CT439" s="214"/>
      <c r="CU439" s="214"/>
      <c r="CV439" s="214"/>
      <c r="CW439" s="214"/>
      <c r="CX439" s="214"/>
      <c r="CY439" s="214"/>
      <c r="CZ439" s="214"/>
      <c r="DA439" s="214"/>
      <c r="DB439" s="214"/>
      <c r="DC439" s="214"/>
      <c r="DD439" s="214"/>
      <c r="DE439" s="214"/>
      <c r="DF439" s="214"/>
      <c r="DG439" s="214"/>
      <c r="DH439" s="214"/>
      <c r="DI439" s="214"/>
      <c r="DJ439" s="214"/>
      <c r="DK439" s="214"/>
      <c r="DL439" s="214"/>
      <c r="DM439" s="214"/>
      <c r="DN439" s="214"/>
      <c r="DO439" s="214"/>
      <c r="DP439" s="214"/>
      <c r="DQ439" s="214"/>
      <c r="DR439" s="214"/>
      <c r="DS439" s="214"/>
      <c r="DT439" s="214"/>
      <c r="DU439" s="214"/>
      <c r="DV439" s="214"/>
      <c r="DW439" s="214"/>
      <c r="DX439" s="214"/>
      <c r="DY439" s="214"/>
      <c r="DZ439" s="214"/>
      <c r="EA439" s="214"/>
      <c r="EB439" s="214"/>
      <c r="EC439" s="214"/>
    </row>
    <row r="440" spans="21:133" s="227" customFormat="1" x14ac:dyDescent="0.15">
      <c r="U440" s="214"/>
      <c r="V440" s="214"/>
      <c r="W440" s="214"/>
      <c r="X440" s="214"/>
      <c r="Y440" s="214"/>
      <c r="Z440" s="214"/>
      <c r="AA440" s="214"/>
      <c r="AB440" s="214"/>
      <c r="AC440" s="214"/>
      <c r="AD440" s="214"/>
      <c r="AE440" s="214"/>
      <c r="AF440" s="214"/>
      <c r="AG440" s="214"/>
      <c r="AH440" s="214"/>
      <c r="AI440" s="214"/>
      <c r="AJ440" s="214"/>
      <c r="AK440" s="214"/>
      <c r="AL440" s="214"/>
      <c r="AM440" s="214"/>
      <c r="AN440" s="214"/>
      <c r="AO440" s="214"/>
      <c r="AP440" s="214"/>
      <c r="AQ440" s="214"/>
      <c r="AR440" s="214"/>
      <c r="AS440" s="214"/>
      <c r="AT440" s="214"/>
      <c r="AU440" s="214"/>
      <c r="AV440" s="214"/>
      <c r="AW440" s="214"/>
      <c r="AX440" s="214"/>
      <c r="AY440" s="214"/>
      <c r="AZ440" s="214"/>
      <c r="BA440" s="214"/>
      <c r="BB440" s="214"/>
      <c r="BC440" s="214"/>
      <c r="BD440" s="214"/>
      <c r="BE440" s="214"/>
      <c r="BF440" s="214"/>
      <c r="BG440" s="214"/>
      <c r="BH440" s="214"/>
      <c r="BI440" s="214"/>
      <c r="BJ440" s="214"/>
      <c r="BK440" s="214"/>
      <c r="BL440" s="214"/>
      <c r="BM440" s="214"/>
      <c r="BN440" s="214"/>
      <c r="BO440" s="214"/>
      <c r="BP440" s="214"/>
      <c r="BQ440" s="214"/>
      <c r="BR440" s="214"/>
      <c r="BS440" s="214"/>
      <c r="BT440" s="214"/>
      <c r="BU440" s="214"/>
      <c r="BV440" s="214"/>
      <c r="BW440" s="214"/>
      <c r="BX440" s="214"/>
      <c r="BY440" s="214"/>
      <c r="BZ440" s="214"/>
      <c r="CA440" s="214"/>
      <c r="CB440" s="214"/>
      <c r="CC440" s="214"/>
      <c r="CD440" s="214"/>
      <c r="CE440" s="214"/>
      <c r="CF440" s="214"/>
      <c r="CG440" s="214"/>
      <c r="CH440" s="214"/>
      <c r="CI440" s="214"/>
      <c r="CJ440" s="214"/>
      <c r="CK440" s="214"/>
      <c r="CL440" s="214"/>
      <c r="CM440" s="214"/>
      <c r="CN440" s="214"/>
      <c r="CO440" s="214"/>
      <c r="CP440" s="214"/>
      <c r="CQ440" s="214"/>
      <c r="CR440" s="214"/>
      <c r="CS440" s="214"/>
      <c r="CT440" s="214"/>
      <c r="CU440" s="214"/>
      <c r="CV440" s="214"/>
      <c r="CW440" s="214"/>
      <c r="CX440" s="214"/>
      <c r="CY440" s="214"/>
      <c r="CZ440" s="214"/>
      <c r="DA440" s="214"/>
      <c r="DB440" s="214"/>
      <c r="DC440" s="214"/>
      <c r="DD440" s="214"/>
      <c r="DE440" s="214"/>
      <c r="DF440" s="214"/>
      <c r="DG440" s="214"/>
      <c r="DH440" s="214"/>
      <c r="DI440" s="214"/>
      <c r="DJ440" s="214"/>
      <c r="DK440" s="214"/>
      <c r="DL440" s="214"/>
      <c r="DM440" s="214"/>
      <c r="DN440" s="214"/>
      <c r="DO440" s="214"/>
      <c r="DP440" s="214"/>
      <c r="DQ440" s="214"/>
      <c r="DR440" s="214"/>
      <c r="DS440" s="214"/>
      <c r="DT440" s="214"/>
      <c r="DU440" s="214"/>
      <c r="DV440" s="214"/>
      <c r="DW440" s="214"/>
      <c r="DX440" s="214"/>
      <c r="DY440" s="214"/>
      <c r="DZ440" s="214"/>
      <c r="EA440" s="214"/>
      <c r="EB440" s="214"/>
      <c r="EC440" s="214"/>
    </row>
    <row r="441" spans="21:133" s="227" customFormat="1" x14ac:dyDescent="0.15">
      <c r="U441" s="214"/>
      <c r="V441" s="214"/>
      <c r="W441" s="214"/>
      <c r="X441" s="214"/>
      <c r="Y441" s="214"/>
      <c r="Z441" s="214"/>
      <c r="AA441" s="214"/>
      <c r="AB441" s="214"/>
      <c r="AC441" s="214"/>
      <c r="AD441" s="214"/>
      <c r="AE441" s="214"/>
      <c r="AF441" s="214"/>
      <c r="AG441" s="214"/>
      <c r="AH441" s="214"/>
      <c r="AI441" s="214"/>
      <c r="AJ441" s="214"/>
      <c r="AK441" s="214"/>
      <c r="AL441" s="214"/>
      <c r="AM441" s="214"/>
      <c r="AN441" s="214"/>
      <c r="AO441" s="214"/>
      <c r="AP441" s="214"/>
      <c r="AQ441" s="214"/>
      <c r="AR441" s="214"/>
      <c r="AS441" s="214"/>
      <c r="AT441" s="214"/>
      <c r="AU441" s="214"/>
      <c r="AV441" s="214"/>
      <c r="AW441" s="214"/>
      <c r="AX441" s="214"/>
      <c r="AY441" s="214"/>
      <c r="AZ441" s="214"/>
      <c r="BA441" s="214"/>
      <c r="BB441" s="214"/>
      <c r="BC441" s="214"/>
      <c r="BD441" s="214"/>
      <c r="BE441" s="214"/>
      <c r="BF441" s="214"/>
      <c r="BG441" s="214"/>
      <c r="BH441" s="214"/>
      <c r="BI441" s="214"/>
      <c r="BJ441" s="214"/>
      <c r="BK441" s="214"/>
      <c r="BL441" s="214"/>
      <c r="BM441" s="214"/>
      <c r="BN441" s="214"/>
      <c r="BO441" s="214"/>
      <c r="BP441" s="214"/>
      <c r="BQ441" s="214"/>
      <c r="BR441" s="214"/>
      <c r="BS441" s="214"/>
      <c r="BT441" s="214"/>
      <c r="BU441" s="214"/>
      <c r="BV441" s="214"/>
      <c r="BW441" s="214"/>
      <c r="BX441" s="214"/>
      <c r="BY441" s="214"/>
      <c r="BZ441" s="214"/>
      <c r="CA441" s="214"/>
      <c r="CB441" s="214"/>
      <c r="CC441" s="214"/>
      <c r="CD441" s="214"/>
      <c r="CE441" s="214"/>
      <c r="CF441" s="214"/>
      <c r="CG441" s="214"/>
      <c r="CH441" s="214"/>
      <c r="CI441" s="214"/>
      <c r="CJ441" s="214"/>
      <c r="CK441" s="214"/>
      <c r="CL441" s="214"/>
      <c r="CM441" s="214"/>
      <c r="CN441" s="214"/>
      <c r="CO441" s="214"/>
      <c r="CP441" s="214"/>
      <c r="CQ441" s="214"/>
      <c r="CR441" s="214"/>
      <c r="CS441" s="214"/>
      <c r="CT441" s="214"/>
      <c r="CU441" s="214"/>
      <c r="CV441" s="214"/>
      <c r="CW441" s="214"/>
      <c r="CX441" s="214"/>
      <c r="CY441" s="214"/>
      <c r="CZ441" s="214"/>
      <c r="DA441" s="214"/>
      <c r="DB441" s="214"/>
      <c r="DC441" s="214"/>
      <c r="DD441" s="214"/>
      <c r="DE441" s="214"/>
      <c r="DF441" s="214"/>
      <c r="DG441" s="214"/>
      <c r="DH441" s="214"/>
      <c r="DI441" s="214"/>
      <c r="DJ441" s="214"/>
      <c r="DK441" s="214"/>
      <c r="DL441" s="214"/>
      <c r="DM441" s="214"/>
      <c r="DN441" s="214"/>
      <c r="DO441" s="214"/>
      <c r="DP441" s="214"/>
      <c r="DQ441" s="214"/>
      <c r="DR441" s="214"/>
      <c r="DS441" s="214"/>
      <c r="DT441" s="214"/>
      <c r="DU441" s="214"/>
      <c r="DV441" s="214"/>
      <c r="DW441" s="214"/>
      <c r="DX441" s="214"/>
      <c r="DY441" s="214"/>
      <c r="DZ441" s="214"/>
      <c r="EA441" s="214"/>
      <c r="EB441" s="214"/>
      <c r="EC441" s="214"/>
    </row>
    <row r="442" spans="21:133" s="227" customFormat="1" x14ac:dyDescent="0.15">
      <c r="U442" s="214"/>
      <c r="V442" s="214"/>
      <c r="W442" s="214"/>
      <c r="X442" s="214"/>
      <c r="Y442" s="214"/>
      <c r="Z442" s="214"/>
      <c r="AA442" s="214"/>
      <c r="AB442" s="214"/>
      <c r="AC442" s="214"/>
      <c r="AD442" s="214"/>
      <c r="AE442" s="214"/>
      <c r="AF442" s="214"/>
      <c r="AG442" s="214"/>
      <c r="AH442" s="214"/>
      <c r="AI442" s="214"/>
      <c r="AJ442" s="214"/>
      <c r="AK442" s="214"/>
      <c r="AL442" s="214"/>
      <c r="AM442" s="214"/>
      <c r="AN442" s="214"/>
      <c r="AO442" s="214"/>
      <c r="AP442" s="214"/>
      <c r="AQ442" s="214"/>
      <c r="AR442" s="214"/>
      <c r="AS442" s="214"/>
      <c r="AT442" s="214"/>
      <c r="AU442" s="214"/>
      <c r="AV442" s="214"/>
      <c r="AW442" s="214"/>
      <c r="AX442" s="214"/>
      <c r="AY442" s="214"/>
      <c r="AZ442" s="214"/>
      <c r="BA442" s="214"/>
      <c r="BB442" s="214"/>
      <c r="BC442" s="214"/>
      <c r="BD442" s="214"/>
      <c r="BE442" s="214"/>
      <c r="BF442" s="214"/>
      <c r="BG442" s="214"/>
      <c r="BH442" s="214"/>
      <c r="BI442" s="214"/>
      <c r="BJ442" s="214"/>
      <c r="BK442" s="214"/>
      <c r="BL442" s="214"/>
      <c r="BM442" s="214"/>
      <c r="BN442" s="214"/>
      <c r="BO442" s="214"/>
      <c r="BP442" s="214"/>
      <c r="BQ442" s="214"/>
      <c r="BR442" s="214"/>
      <c r="BS442" s="214"/>
      <c r="BT442" s="214"/>
      <c r="BU442" s="214"/>
      <c r="BV442" s="214"/>
      <c r="BW442" s="214"/>
      <c r="BX442" s="214"/>
      <c r="BY442" s="214"/>
      <c r="BZ442" s="214"/>
      <c r="CA442" s="214"/>
      <c r="CB442" s="214"/>
      <c r="CC442" s="214"/>
      <c r="CD442" s="214"/>
      <c r="CE442" s="214"/>
      <c r="CF442" s="214"/>
      <c r="CG442" s="214"/>
      <c r="CH442" s="214"/>
      <c r="CI442" s="214"/>
      <c r="CJ442" s="214"/>
      <c r="CK442" s="214"/>
      <c r="CL442" s="214"/>
      <c r="CM442" s="214"/>
      <c r="CN442" s="214"/>
      <c r="CO442" s="214"/>
      <c r="CP442" s="214"/>
      <c r="CQ442" s="214"/>
      <c r="CR442" s="214"/>
      <c r="CS442" s="214"/>
      <c r="CT442" s="214"/>
      <c r="CU442" s="214"/>
      <c r="CV442" s="214"/>
      <c r="CW442" s="214"/>
      <c r="CX442" s="214"/>
      <c r="CY442" s="214"/>
      <c r="CZ442" s="214"/>
      <c r="DA442" s="214"/>
      <c r="DB442" s="214"/>
      <c r="DC442" s="214"/>
      <c r="DD442" s="214"/>
      <c r="DE442" s="214"/>
      <c r="DF442" s="214"/>
      <c r="DG442" s="214"/>
      <c r="DH442" s="214"/>
      <c r="DI442" s="214"/>
      <c r="DJ442" s="214"/>
      <c r="DK442" s="214"/>
      <c r="DL442" s="214"/>
      <c r="DM442" s="214"/>
      <c r="DN442" s="214"/>
      <c r="DO442" s="214"/>
      <c r="DP442" s="214"/>
      <c r="DQ442" s="214"/>
      <c r="DR442" s="214"/>
      <c r="DS442" s="214"/>
      <c r="DT442" s="214"/>
      <c r="DU442" s="214"/>
      <c r="DV442" s="214"/>
      <c r="DW442" s="214"/>
      <c r="DX442" s="214"/>
      <c r="DY442" s="214"/>
      <c r="DZ442" s="214"/>
      <c r="EA442" s="214"/>
      <c r="EB442" s="214"/>
      <c r="EC442" s="214"/>
    </row>
    <row r="443" spans="21:133" s="227" customFormat="1" x14ac:dyDescent="0.15">
      <c r="U443" s="214"/>
      <c r="V443" s="214"/>
      <c r="W443" s="214"/>
      <c r="X443" s="214"/>
      <c r="Y443" s="214"/>
      <c r="Z443" s="214"/>
      <c r="AA443" s="214"/>
      <c r="AB443" s="214"/>
      <c r="AC443" s="214"/>
      <c r="AD443" s="214"/>
      <c r="AE443" s="214"/>
      <c r="AF443" s="214"/>
      <c r="AG443" s="214"/>
      <c r="AH443" s="214"/>
      <c r="AI443" s="214"/>
      <c r="AJ443" s="214"/>
      <c r="AK443" s="214"/>
      <c r="AL443" s="214"/>
      <c r="AM443" s="214"/>
      <c r="AN443" s="214"/>
      <c r="AO443" s="214"/>
      <c r="AP443" s="214"/>
      <c r="AQ443" s="214"/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/>
      <c r="BC443" s="214"/>
      <c r="BD443" s="214"/>
      <c r="BE443" s="214"/>
      <c r="BF443" s="214"/>
      <c r="BG443" s="214"/>
      <c r="BH443" s="214"/>
      <c r="BI443" s="214"/>
      <c r="BJ443" s="214"/>
      <c r="BK443" s="214"/>
      <c r="BL443" s="214"/>
      <c r="BM443" s="214"/>
      <c r="BN443" s="214"/>
      <c r="BO443" s="214"/>
      <c r="BP443" s="214"/>
      <c r="BQ443" s="214"/>
      <c r="BR443" s="214"/>
      <c r="BS443" s="214"/>
      <c r="BT443" s="214"/>
      <c r="BU443" s="214"/>
      <c r="BV443" s="214"/>
      <c r="BW443" s="214"/>
      <c r="BX443" s="214"/>
      <c r="BY443" s="214"/>
      <c r="BZ443" s="214"/>
      <c r="CA443" s="214"/>
      <c r="CB443" s="214"/>
      <c r="CC443" s="214"/>
      <c r="CD443" s="214"/>
      <c r="CE443" s="214"/>
      <c r="CF443" s="214"/>
      <c r="CG443" s="214"/>
      <c r="CH443" s="214"/>
      <c r="CI443" s="214"/>
      <c r="CJ443" s="214"/>
      <c r="CK443" s="214"/>
      <c r="CL443" s="214"/>
      <c r="CM443" s="214"/>
      <c r="CN443" s="214"/>
      <c r="CO443" s="214"/>
      <c r="CP443" s="214"/>
      <c r="CQ443" s="214"/>
      <c r="CR443" s="214"/>
      <c r="CS443" s="214"/>
      <c r="CT443" s="214"/>
      <c r="CU443" s="214"/>
      <c r="CV443" s="214"/>
      <c r="CW443" s="214"/>
      <c r="CX443" s="214"/>
      <c r="CY443" s="214"/>
      <c r="CZ443" s="214"/>
      <c r="DA443" s="214"/>
      <c r="DB443" s="214"/>
      <c r="DC443" s="214"/>
      <c r="DD443" s="214"/>
      <c r="DE443" s="214"/>
      <c r="DF443" s="214"/>
      <c r="DG443" s="214"/>
      <c r="DH443" s="214"/>
      <c r="DI443" s="214"/>
      <c r="DJ443" s="214"/>
      <c r="DK443" s="214"/>
      <c r="DL443" s="214"/>
      <c r="DM443" s="214"/>
      <c r="DN443" s="214"/>
      <c r="DO443" s="214"/>
      <c r="DP443" s="214"/>
      <c r="DQ443" s="214"/>
      <c r="DR443" s="214"/>
      <c r="DS443" s="214"/>
      <c r="DT443" s="214"/>
      <c r="DU443" s="214"/>
      <c r="DV443" s="214"/>
      <c r="DW443" s="214"/>
      <c r="DX443" s="214"/>
      <c r="DY443" s="214"/>
      <c r="DZ443" s="214"/>
      <c r="EA443" s="214"/>
      <c r="EB443" s="214"/>
      <c r="EC443" s="214"/>
    </row>
    <row r="444" spans="21:133" s="227" customFormat="1" x14ac:dyDescent="0.15">
      <c r="U444" s="214"/>
      <c r="V444" s="214"/>
      <c r="W444" s="214"/>
      <c r="X444" s="214"/>
      <c r="Y444" s="214"/>
      <c r="Z444" s="214"/>
      <c r="AA444" s="214"/>
      <c r="AB444" s="214"/>
      <c r="AC444" s="214"/>
      <c r="AD444" s="214"/>
      <c r="AE444" s="214"/>
      <c r="AF444" s="214"/>
      <c r="AG444" s="214"/>
      <c r="AH444" s="214"/>
      <c r="AI444" s="214"/>
      <c r="AJ444" s="214"/>
      <c r="AK444" s="214"/>
      <c r="AL444" s="214"/>
      <c r="AM444" s="214"/>
      <c r="AN444" s="214"/>
      <c r="AO444" s="214"/>
      <c r="AP444" s="214"/>
      <c r="AQ444" s="214"/>
      <c r="AR444" s="214"/>
      <c r="AS444" s="214"/>
      <c r="AT444" s="214"/>
      <c r="AU444" s="214"/>
      <c r="AV444" s="214"/>
      <c r="AW444" s="214"/>
      <c r="AX444" s="214"/>
      <c r="AY444" s="214"/>
      <c r="AZ444" s="214"/>
      <c r="BA444" s="214"/>
      <c r="BB444" s="214"/>
      <c r="BC444" s="214"/>
      <c r="BD444" s="214"/>
      <c r="BE444" s="214"/>
      <c r="BF444" s="214"/>
      <c r="BG444" s="214"/>
      <c r="BH444" s="214"/>
      <c r="BI444" s="214"/>
      <c r="BJ444" s="214"/>
      <c r="BK444" s="214"/>
      <c r="BL444" s="214"/>
      <c r="BM444" s="214"/>
      <c r="BN444" s="214"/>
      <c r="BO444" s="214"/>
      <c r="BP444" s="214"/>
      <c r="BQ444" s="214"/>
      <c r="BR444" s="214"/>
      <c r="BS444" s="214"/>
      <c r="BT444" s="214"/>
      <c r="BU444" s="214"/>
      <c r="BV444" s="214"/>
      <c r="BW444" s="214"/>
      <c r="BX444" s="214"/>
      <c r="BY444" s="214"/>
      <c r="BZ444" s="214"/>
      <c r="CA444" s="214"/>
      <c r="CB444" s="214"/>
      <c r="CC444" s="214"/>
      <c r="CD444" s="214"/>
      <c r="CE444" s="214"/>
      <c r="CF444" s="214"/>
      <c r="CG444" s="214"/>
      <c r="CH444" s="214"/>
      <c r="CI444" s="214"/>
      <c r="CJ444" s="214"/>
      <c r="CK444" s="214"/>
      <c r="CL444" s="214"/>
      <c r="CM444" s="214"/>
      <c r="CN444" s="214"/>
      <c r="CO444" s="214"/>
      <c r="CP444" s="214"/>
      <c r="CQ444" s="214"/>
      <c r="CR444" s="214"/>
      <c r="CS444" s="214"/>
      <c r="CT444" s="214"/>
      <c r="CU444" s="214"/>
      <c r="CV444" s="214"/>
      <c r="CW444" s="214"/>
      <c r="CX444" s="214"/>
      <c r="CY444" s="214"/>
      <c r="CZ444" s="214"/>
      <c r="DA444" s="214"/>
      <c r="DB444" s="214"/>
      <c r="DC444" s="214"/>
      <c r="DD444" s="214"/>
      <c r="DE444" s="214"/>
      <c r="DF444" s="214"/>
      <c r="DG444" s="214"/>
      <c r="DH444" s="214"/>
      <c r="DI444" s="214"/>
      <c r="DJ444" s="214"/>
      <c r="DK444" s="214"/>
      <c r="DL444" s="214"/>
      <c r="DM444" s="214"/>
      <c r="DN444" s="214"/>
      <c r="DO444" s="214"/>
      <c r="DP444" s="214"/>
      <c r="DQ444" s="214"/>
      <c r="DR444" s="214"/>
      <c r="DS444" s="214"/>
      <c r="DT444" s="214"/>
      <c r="DU444" s="214"/>
      <c r="DV444" s="214"/>
      <c r="DW444" s="214"/>
      <c r="DX444" s="214"/>
      <c r="DY444" s="214"/>
      <c r="DZ444" s="214"/>
      <c r="EA444" s="214"/>
      <c r="EB444" s="214"/>
      <c r="EC444" s="214"/>
    </row>
    <row r="445" spans="21:133" s="227" customFormat="1" x14ac:dyDescent="0.15">
      <c r="U445" s="214"/>
      <c r="V445" s="214"/>
      <c r="W445" s="214"/>
      <c r="X445" s="214"/>
      <c r="Y445" s="214"/>
      <c r="Z445" s="214"/>
      <c r="AA445" s="214"/>
      <c r="AB445" s="214"/>
      <c r="AC445" s="214"/>
      <c r="AD445" s="214"/>
      <c r="AE445" s="214"/>
      <c r="AF445" s="214"/>
      <c r="AG445" s="214"/>
      <c r="AH445" s="214"/>
      <c r="AI445" s="214"/>
      <c r="AJ445" s="214"/>
      <c r="AK445" s="214"/>
      <c r="AL445" s="214"/>
      <c r="AM445" s="214"/>
      <c r="AN445" s="214"/>
      <c r="AO445" s="214"/>
      <c r="AP445" s="214"/>
      <c r="AQ445" s="214"/>
      <c r="AR445" s="214"/>
      <c r="AS445" s="214"/>
      <c r="AT445" s="214"/>
      <c r="AU445" s="214"/>
      <c r="AV445" s="214"/>
      <c r="AW445" s="214"/>
      <c r="AX445" s="214"/>
      <c r="AY445" s="214"/>
      <c r="AZ445" s="214"/>
      <c r="BA445" s="214"/>
      <c r="BB445" s="214"/>
      <c r="BC445" s="214"/>
      <c r="BD445" s="214"/>
      <c r="BE445" s="214"/>
      <c r="BF445" s="214"/>
      <c r="BG445" s="214"/>
      <c r="BH445" s="214"/>
      <c r="BI445" s="214"/>
      <c r="BJ445" s="214"/>
      <c r="BK445" s="214"/>
      <c r="BL445" s="214"/>
      <c r="BM445" s="214"/>
      <c r="BN445" s="214"/>
      <c r="BO445" s="214"/>
      <c r="BP445" s="214"/>
      <c r="BQ445" s="214"/>
      <c r="BR445" s="214"/>
      <c r="BS445" s="214"/>
      <c r="BT445" s="214"/>
      <c r="BU445" s="214"/>
      <c r="BV445" s="214"/>
      <c r="BW445" s="214"/>
      <c r="BX445" s="214"/>
      <c r="BY445" s="214"/>
      <c r="BZ445" s="214"/>
      <c r="CA445" s="214"/>
      <c r="CB445" s="214"/>
      <c r="CC445" s="214"/>
      <c r="CD445" s="214"/>
      <c r="CE445" s="214"/>
      <c r="CF445" s="214"/>
      <c r="CG445" s="214"/>
      <c r="CH445" s="214"/>
      <c r="CI445" s="214"/>
      <c r="CJ445" s="214"/>
      <c r="CK445" s="214"/>
      <c r="CL445" s="214"/>
      <c r="CM445" s="214"/>
      <c r="CN445" s="214"/>
      <c r="CO445" s="214"/>
      <c r="CP445" s="214"/>
      <c r="CQ445" s="214"/>
      <c r="CR445" s="214"/>
      <c r="CS445" s="214"/>
      <c r="CT445" s="214"/>
      <c r="CU445" s="214"/>
      <c r="CV445" s="214"/>
      <c r="CW445" s="214"/>
      <c r="CX445" s="214"/>
      <c r="CY445" s="214"/>
      <c r="CZ445" s="214"/>
      <c r="DA445" s="214"/>
      <c r="DB445" s="214"/>
      <c r="DC445" s="214"/>
      <c r="DD445" s="214"/>
      <c r="DE445" s="214"/>
      <c r="DF445" s="214"/>
      <c r="DG445" s="214"/>
      <c r="DH445" s="214"/>
      <c r="DI445" s="214"/>
      <c r="DJ445" s="214"/>
      <c r="DK445" s="214"/>
      <c r="DL445" s="214"/>
      <c r="DM445" s="214"/>
      <c r="DN445" s="214"/>
      <c r="DO445" s="214"/>
      <c r="DP445" s="214"/>
      <c r="DQ445" s="214"/>
      <c r="DR445" s="214"/>
      <c r="DS445" s="214"/>
      <c r="DT445" s="214"/>
      <c r="DU445" s="214"/>
      <c r="DV445" s="214"/>
      <c r="DW445" s="214"/>
      <c r="DX445" s="214"/>
      <c r="DY445" s="214"/>
      <c r="DZ445" s="214"/>
      <c r="EA445" s="214"/>
      <c r="EB445" s="214"/>
      <c r="EC445" s="214"/>
    </row>
    <row r="446" spans="21:133" s="227" customFormat="1" x14ac:dyDescent="0.15">
      <c r="U446" s="214"/>
      <c r="V446" s="214"/>
      <c r="W446" s="214"/>
      <c r="X446" s="214"/>
      <c r="Y446" s="214"/>
      <c r="Z446" s="214"/>
      <c r="AA446" s="214"/>
      <c r="AB446" s="214"/>
      <c r="AC446" s="214"/>
      <c r="AD446" s="214"/>
      <c r="AE446" s="214"/>
      <c r="AF446" s="214"/>
      <c r="AG446" s="214"/>
      <c r="AH446" s="214"/>
      <c r="AI446" s="214"/>
      <c r="AJ446" s="214"/>
      <c r="AK446" s="214"/>
      <c r="AL446" s="214"/>
      <c r="AM446" s="214"/>
      <c r="AN446" s="214"/>
      <c r="AO446" s="214"/>
      <c r="AP446" s="214"/>
      <c r="AQ446" s="214"/>
      <c r="AR446" s="214"/>
      <c r="AS446" s="214"/>
      <c r="AT446" s="214"/>
      <c r="AU446" s="214"/>
      <c r="AV446" s="214"/>
      <c r="AW446" s="214"/>
      <c r="AX446" s="214"/>
      <c r="AY446" s="214"/>
      <c r="AZ446" s="214"/>
      <c r="BA446" s="214"/>
      <c r="BB446" s="214"/>
      <c r="BC446" s="214"/>
      <c r="BD446" s="214"/>
      <c r="BE446" s="214"/>
      <c r="BF446" s="214"/>
      <c r="BG446" s="214"/>
      <c r="BH446" s="214"/>
      <c r="BI446" s="214"/>
      <c r="BJ446" s="214"/>
      <c r="BK446" s="214"/>
      <c r="BL446" s="214"/>
      <c r="BM446" s="214"/>
      <c r="BN446" s="214"/>
      <c r="BO446" s="214"/>
      <c r="BP446" s="214"/>
      <c r="BQ446" s="214"/>
      <c r="BR446" s="214"/>
      <c r="BS446" s="214"/>
      <c r="BT446" s="214"/>
      <c r="BU446" s="214"/>
      <c r="BV446" s="214"/>
      <c r="BW446" s="214"/>
      <c r="BX446" s="214"/>
      <c r="BY446" s="214"/>
      <c r="BZ446" s="214"/>
      <c r="CA446" s="214"/>
      <c r="CB446" s="214"/>
      <c r="CC446" s="214"/>
      <c r="CD446" s="214"/>
      <c r="CE446" s="214"/>
      <c r="CF446" s="214"/>
      <c r="CG446" s="214"/>
      <c r="CH446" s="214"/>
      <c r="CI446" s="214"/>
      <c r="CJ446" s="214"/>
      <c r="CK446" s="214"/>
      <c r="CL446" s="214"/>
      <c r="CM446" s="214"/>
      <c r="CN446" s="214"/>
      <c r="CO446" s="214"/>
      <c r="CP446" s="214"/>
      <c r="CQ446" s="214"/>
      <c r="CR446" s="214"/>
      <c r="CS446" s="214"/>
      <c r="CT446" s="214"/>
      <c r="CU446" s="214"/>
      <c r="CV446" s="214"/>
      <c r="CW446" s="214"/>
      <c r="CX446" s="214"/>
      <c r="CY446" s="214"/>
      <c r="CZ446" s="214"/>
      <c r="DA446" s="214"/>
      <c r="DB446" s="214"/>
      <c r="DC446" s="214"/>
      <c r="DD446" s="214"/>
      <c r="DE446" s="214"/>
      <c r="DF446" s="214"/>
      <c r="DG446" s="214"/>
      <c r="DH446" s="214"/>
      <c r="DI446" s="214"/>
      <c r="DJ446" s="214"/>
      <c r="DK446" s="214"/>
      <c r="DL446" s="214"/>
      <c r="DM446" s="214"/>
      <c r="DN446" s="214"/>
      <c r="DO446" s="214"/>
      <c r="DP446" s="214"/>
      <c r="DQ446" s="214"/>
      <c r="DR446" s="214"/>
      <c r="DS446" s="214"/>
      <c r="DT446" s="214"/>
      <c r="DU446" s="214"/>
      <c r="DV446" s="214"/>
      <c r="DW446" s="214"/>
      <c r="DX446" s="214"/>
      <c r="DY446" s="214"/>
      <c r="DZ446" s="214"/>
      <c r="EA446" s="214"/>
      <c r="EB446" s="214"/>
      <c r="EC446" s="214"/>
    </row>
    <row r="447" spans="21:133" s="227" customFormat="1" x14ac:dyDescent="0.15">
      <c r="U447" s="214"/>
      <c r="V447" s="214"/>
      <c r="W447" s="214"/>
      <c r="X447" s="214"/>
      <c r="Y447" s="214"/>
      <c r="Z447" s="214"/>
      <c r="AA447" s="214"/>
      <c r="AB447" s="214"/>
      <c r="AC447" s="214"/>
      <c r="AD447" s="214"/>
      <c r="AE447" s="214"/>
      <c r="AF447" s="214"/>
      <c r="AG447" s="214"/>
      <c r="AH447" s="214"/>
      <c r="AI447" s="214"/>
      <c r="AJ447" s="214"/>
      <c r="AK447" s="214"/>
      <c r="AL447" s="214"/>
      <c r="AM447" s="214"/>
      <c r="AN447" s="214"/>
      <c r="AO447" s="214"/>
      <c r="AP447" s="214"/>
      <c r="AQ447" s="214"/>
      <c r="AR447" s="214"/>
      <c r="AS447" s="214"/>
      <c r="AT447" s="214"/>
      <c r="AU447" s="214"/>
      <c r="AV447" s="214"/>
      <c r="AW447" s="214"/>
      <c r="AX447" s="214"/>
      <c r="AY447" s="214"/>
      <c r="AZ447" s="214"/>
      <c r="BA447" s="214"/>
      <c r="BB447" s="214"/>
      <c r="BC447" s="214"/>
      <c r="BD447" s="214"/>
      <c r="BE447" s="214"/>
      <c r="BF447" s="214"/>
      <c r="BG447" s="214"/>
      <c r="BH447" s="214"/>
      <c r="BI447" s="214"/>
      <c r="BJ447" s="214"/>
      <c r="BK447" s="214"/>
      <c r="BL447" s="214"/>
      <c r="BM447" s="214"/>
      <c r="BN447" s="214"/>
      <c r="BO447" s="214"/>
      <c r="BP447" s="214"/>
      <c r="BQ447" s="214"/>
      <c r="BR447" s="214"/>
      <c r="BS447" s="214"/>
      <c r="BT447" s="214"/>
      <c r="BU447" s="214"/>
      <c r="BV447" s="214"/>
      <c r="BW447" s="214"/>
      <c r="BX447" s="214"/>
      <c r="BY447" s="214"/>
      <c r="BZ447" s="214"/>
      <c r="CA447" s="214"/>
      <c r="CB447" s="214"/>
      <c r="CC447" s="214"/>
      <c r="CD447" s="214"/>
      <c r="CE447" s="214"/>
      <c r="CF447" s="214"/>
      <c r="CG447" s="214"/>
      <c r="CH447" s="214"/>
      <c r="CI447" s="214"/>
      <c r="CJ447" s="214"/>
      <c r="CK447" s="214"/>
      <c r="CL447" s="214"/>
      <c r="CM447" s="214"/>
      <c r="CN447" s="214"/>
      <c r="CO447" s="214"/>
      <c r="CP447" s="214"/>
      <c r="CQ447" s="214"/>
      <c r="CR447" s="214"/>
      <c r="CS447" s="214"/>
      <c r="CT447" s="214"/>
      <c r="CU447" s="214"/>
      <c r="CV447" s="214"/>
      <c r="CW447" s="214"/>
      <c r="CX447" s="214"/>
      <c r="CY447" s="214"/>
      <c r="CZ447" s="214"/>
      <c r="DA447" s="214"/>
      <c r="DB447" s="214"/>
      <c r="DC447" s="214"/>
      <c r="DD447" s="214"/>
      <c r="DE447" s="214"/>
      <c r="DF447" s="214"/>
      <c r="DG447" s="214"/>
      <c r="DH447" s="214"/>
      <c r="DI447" s="214"/>
      <c r="DJ447" s="214"/>
      <c r="DK447" s="214"/>
      <c r="DL447" s="214"/>
      <c r="DM447" s="214"/>
      <c r="DN447" s="214"/>
      <c r="DO447" s="214"/>
      <c r="DP447" s="214"/>
      <c r="DQ447" s="214"/>
      <c r="DR447" s="214"/>
      <c r="DS447" s="214"/>
      <c r="DT447" s="214"/>
      <c r="DU447" s="214"/>
      <c r="DV447" s="214"/>
      <c r="DW447" s="214"/>
      <c r="DX447" s="214"/>
      <c r="DY447" s="214"/>
      <c r="DZ447" s="214"/>
      <c r="EA447" s="214"/>
      <c r="EB447" s="214"/>
      <c r="EC447" s="214"/>
    </row>
    <row r="448" spans="21:133" s="227" customFormat="1" x14ac:dyDescent="0.15">
      <c r="U448" s="214"/>
      <c r="V448" s="214"/>
      <c r="W448" s="214"/>
      <c r="X448" s="214"/>
      <c r="Y448" s="214"/>
      <c r="Z448" s="214"/>
      <c r="AA448" s="214"/>
      <c r="AB448" s="214"/>
      <c r="AC448" s="214"/>
      <c r="AD448" s="214"/>
      <c r="AE448" s="214"/>
      <c r="AF448" s="214"/>
      <c r="AG448" s="214"/>
      <c r="AH448" s="214"/>
      <c r="AI448" s="214"/>
      <c r="AJ448" s="214"/>
      <c r="AK448" s="214"/>
      <c r="AL448" s="214"/>
      <c r="AM448" s="214"/>
      <c r="AN448" s="214"/>
      <c r="AO448" s="214"/>
      <c r="AP448" s="214"/>
      <c r="AQ448" s="214"/>
      <c r="AR448" s="214"/>
      <c r="AS448" s="214"/>
      <c r="AT448" s="214"/>
      <c r="AU448" s="214"/>
      <c r="AV448" s="214"/>
      <c r="AW448" s="214"/>
      <c r="AX448" s="214"/>
      <c r="AY448" s="214"/>
      <c r="AZ448" s="214"/>
      <c r="BA448" s="214"/>
      <c r="BB448" s="214"/>
      <c r="BC448" s="214"/>
      <c r="BD448" s="214"/>
      <c r="BE448" s="214"/>
      <c r="BF448" s="214"/>
      <c r="BG448" s="214"/>
      <c r="BH448" s="214"/>
      <c r="BI448" s="214"/>
      <c r="BJ448" s="214"/>
      <c r="BK448" s="214"/>
      <c r="BL448" s="214"/>
      <c r="BM448" s="214"/>
      <c r="BN448" s="214"/>
      <c r="BO448" s="214"/>
      <c r="BP448" s="214"/>
      <c r="BQ448" s="214"/>
      <c r="BR448" s="214"/>
      <c r="BS448" s="214"/>
      <c r="BT448" s="214"/>
      <c r="BU448" s="214"/>
      <c r="BV448" s="214"/>
      <c r="BW448" s="214"/>
      <c r="BX448" s="214"/>
      <c r="BY448" s="214"/>
      <c r="BZ448" s="214"/>
      <c r="CA448" s="214"/>
      <c r="CB448" s="214"/>
      <c r="CC448" s="214"/>
      <c r="CD448" s="214"/>
      <c r="CE448" s="214"/>
      <c r="CF448" s="214"/>
      <c r="CG448" s="214"/>
      <c r="CH448" s="214"/>
      <c r="CI448" s="214"/>
      <c r="CJ448" s="214"/>
      <c r="CK448" s="214"/>
      <c r="CL448" s="214"/>
      <c r="CM448" s="214"/>
      <c r="CN448" s="214"/>
      <c r="CO448" s="214"/>
      <c r="CP448" s="214"/>
      <c r="CQ448" s="214"/>
      <c r="CR448" s="214"/>
      <c r="CS448" s="214"/>
      <c r="CT448" s="214"/>
      <c r="CU448" s="214"/>
      <c r="CV448" s="214"/>
      <c r="CW448" s="214"/>
      <c r="CX448" s="214"/>
      <c r="CY448" s="214"/>
      <c r="CZ448" s="214"/>
      <c r="DA448" s="214"/>
      <c r="DB448" s="214"/>
      <c r="DC448" s="214"/>
      <c r="DD448" s="214"/>
      <c r="DE448" s="214"/>
      <c r="DF448" s="214"/>
      <c r="DG448" s="214"/>
      <c r="DH448" s="214"/>
      <c r="DI448" s="214"/>
      <c r="DJ448" s="214"/>
      <c r="DK448" s="214"/>
      <c r="DL448" s="214"/>
      <c r="DM448" s="214"/>
      <c r="DN448" s="214"/>
      <c r="DO448" s="214"/>
      <c r="DP448" s="214"/>
      <c r="DQ448" s="214"/>
      <c r="DR448" s="214"/>
      <c r="DS448" s="214"/>
      <c r="DT448" s="214"/>
      <c r="DU448" s="214"/>
      <c r="DV448" s="214"/>
      <c r="DW448" s="214"/>
      <c r="DX448" s="214"/>
      <c r="DY448" s="214"/>
      <c r="DZ448" s="214"/>
      <c r="EA448" s="214"/>
      <c r="EB448" s="214"/>
      <c r="EC448" s="214"/>
    </row>
    <row r="449" spans="21:133" s="227" customFormat="1" x14ac:dyDescent="0.15">
      <c r="U449" s="214"/>
      <c r="V449" s="214"/>
      <c r="W449" s="214"/>
      <c r="X449" s="214"/>
      <c r="Y449" s="214"/>
      <c r="Z449" s="214"/>
      <c r="AA449" s="214"/>
      <c r="AB449" s="214"/>
      <c r="AC449" s="214"/>
      <c r="AD449" s="214"/>
      <c r="AE449" s="214"/>
      <c r="AF449" s="214"/>
      <c r="AG449" s="214"/>
      <c r="AH449" s="214"/>
      <c r="AI449" s="214"/>
      <c r="AJ449" s="214"/>
      <c r="AK449" s="214"/>
      <c r="AL449" s="214"/>
      <c r="AM449" s="214"/>
      <c r="AN449" s="214"/>
      <c r="AO449" s="214"/>
      <c r="AP449" s="214"/>
      <c r="AQ449" s="214"/>
      <c r="AR449" s="214"/>
      <c r="AS449" s="214"/>
      <c r="AT449" s="214"/>
      <c r="AU449" s="214"/>
      <c r="AV449" s="214"/>
      <c r="AW449" s="214"/>
      <c r="AX449" s="214"/>
      <c r="AY449" s="214"/>
      <c r="AZ449" s="214"/>
      <c r="BA449" s="214"/>
      <c r="BB449" s="214"/>
      <c r="BC449" s="214"/>
      <c r="BD449" s="214"/>
      <c r="BE449" s="214"/>
      <c r="BF449" s="214"/>
      <c r="BG449" s="214"/>
      <c r="BH449" s="214"/>
      <c r="BI449" s="214"/>
      <c r="BJ449" s="214"/>
      <c r="BK449" s="214"/>
      <c r="BL449" s="214"/>
      <c r="BM449" s="214"/>
      <c r="BN449" s="214"/>
      <c r="BO449" s="214"/>
      <c r="BP449" s="214"/>
      <c r="BQ449" s="214"/>
      <c r="BR449" s="214"/>
      <c r="BS449" s="214"/>
      <c r="BT449" s="214"/>
      <c r="BU449" s="214"/>
      <c r="BV449" s="214"/>
      <c r="BW449" s="214"/>
      <c r="BX449" s="214"/>
      <c r="BY449" s="214"/>
  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"214"/>
      <c r="CJ449" s="214"/>
      <c r="CK449" s="214"/>
      <c r="CL449" s="214"/>
      <c r="CM449" s="214"/>
      <c r="CN449" s="214"/>
      <c r="CO449" s="214"/>
      <c r="CP449" s="214"/>
      <c r="CQ449" s="214"/>
      <c r="CR449" s="214"/>
      <c r="CS449" s="214"/>
      <c r="CT449" s="214"/>
      <c r="CU449" s="214"/>
      <c r="CV449" s="214"/>
      <c r="CW449" s="214"/>
      <c r="CX449" s="214"/>
      <c r="CY449" s="214"/>
      <c r="CZ449" s="214"/>
      <c r="DA449" s="214"/>
      <c r="DB449" s="214"/>
      <c r="DC449" s="214"/>
      <c r="DD449" s="214"/>
      <c r="DE449" s="214"/>
      <c r="DF449" s="214"/>
      <c r="DG449" s="214"/>
      <c r="DH449" s="214"/>
      <c r="DI449" s="214"/>
      <c r="DJ449" s="214"/>
      <c r="DK449" s="214"/>
      <c r="DL449" s="214"/>
      <c r="DM449" s="214"/>
      <c r="DN449" s="214"/>
      <c r="DO449" s="214"/>
      <c r="DP449" s="214"/>
      <c r="DQ449" s="214"/>
      <c r="DR449" s="214"/>
      <c r="DS449" s="214"/>
      <c r="DT449" s="214"/>
      <c r="DU449" s="214"/>
      <c r="DV449" s="214"/>
      <c r="DW449" s="214"/>
      <c r="DX449" s="214"/>
      <c r="DY449" s="214"/>
      <c r="DZ449" s="214"/>
      <c r="EA449" s="214"/>
      <c r="EB449" s="214"/>
      <c r="EC449" s="214"/>
    </row>
    <row r="450" spans="21:133" s="227" customFormat="1" x14ac:dyDescent="0.15">
      <c r="U450" s="214"/>
      <c r="V450" s="214"/>
      <c r="W450" s="214"/>
      <c r="X450" s="214"/>
      <c r="Y450" s="214"/>
      <c r="Z450" s="214"/>
      <c r="AA450" s="214"/>
      <c r="AB450" s="214"/>
      <c r="AC450" s="214"/>
      <c r="AD450" s="214"/>
      <c r="AE450" s="214"/>
      <c r="AF450" s="214"/>
      <c r="AG450" s="214"/>
      <c r="AH450" s="214"/>
      <c r="AI450" s="214"/>
      <c r="AJ450" s="214"/>
      <c r="AK450" s="214"/>
      <c r="AL450" s="214"/>
      <c r="AM450" s="214"/>
      <c r="AN450" s="214"/>
      <c r="AO450" s="214"/>
      <c r="AP450" s="214"/>
      <c r="AQ450" s="214"/>
      <c r="AR450" s="214"/>
      <c r="AS450" s="214"/>
      <c r="AT450" s="214"/>
      <c r="AU450" s="214"/>
      <c r="AV450" s="214"/>
      <c r="AW450" s="214"/>
      <c r="AX450" s="214"/>
      <c r="AY450" s="214"/>
      <c r="AZ450" s="214"/>
      <c r="BA450" s="214"/>
      <c r="BB450" s="214"/>
      <c r="BC450" s="214"/>
      <c r="BD450" s="214"/>
      <c r="BE450" s="214"/>
      <c r="BF450" s="214"/>
      <c r="BG450" s="214"/>
      <c r="BH450" s="214"/>
      <c r="BI450" s="214"/>
      <c r="BJ450" s="214"/>
      <c r="BK450" s="214"/>
      <c r="BL450" s="214"/>
      <c r="BM450" s="214"/>
      <c r="BN450" s="214"/>
      <c r="BO450" s="214"/>
      <c r="BP450" s="214"/>
      <c r="BQ450" s="214"/>
      <c r="BR450" s="214"/>
      <c r="BS450" s="214"/>
      <c r="BT450" s="214"/>
      <c r="BU450" s="214"/>
      <c r="BV450" s="214"/>
      <c r="BW450" s="214"/>
      <c r="BX450" s="214"/>
      <c r="BY450" s="214"/>
      <c r="BZ450" s="214"/>
      <c r="CA450" s="214"/>
      <c r="CB450" s="214"/>
      <c r="CC450" s="214"/>
      <c r="CD450" s="214"/>
      <c r="CE450" s="214"/>
      <c r="CF450" s="214"/>
      <c r="CG450" s="214"/>
      <c r="CH450" s="214"/>
      <c r="CI450" s="214"/>
      <c r="CJ450" s="214"/>
      <c r="CK450" s="214"/>
      <c r="CL450" s="214"/>
      <c r="CM450" s="214"/>
      <c r="CN450" s="214"/>
      <c r="CO450" s="214"/>
      <c r="CP450" s="214"/>
      <c r="CQ450" s="214"/>
      <c r="CR450" s="214"/>
      <c r="CS450" s="214"/>
      <c r="CT450" s="214"/>
      <c r="CU450" s="214"/>
      <c r="CV450" s="214"/>
      <c r="CW450" s="214"/>
      <c r="CX450" s="214"/>
      <c r="CY450" s="214"/>
      <c r="CZ450" s="214"/>
      <c r="DA450" s="214"/>
      <c r="DB450" s="214"/>
      <c r="DC450" s="214"/>
      <c r="DD450" s="214"/>
      <c r="DE450" s="214"/>
      <c r="DF450" s="214"/>
      <c r="DG450" s="214"/>
      <c r="DH450" s="214"/>
      <c r="DI450" s="214"/>
      <c r="DJ450" s="214"/>
      <c r="DK450" s="214"/>
      <c r="DL450" s="214"/>
      <c r="DM450" s="214"/>
      <c r="DN450" s="214"/>
      <c r="DO450" s="214"/>
      <c r="DP450" s="214"/>
      <c r="DQ450" s="214"/>
      <c r="DR450" s="214"/>
      <c r="DS450" s="214"/>
      <c r="DT450" s="214"/>
      <c r="DU450" s="214"/>
      <c r="DV450" s="214"/>
      <c r="DW450" s="214"/>
      <c r="DX450" s="214"/>
      <c r="DY450" s="214"/>
      <c r="DZ450" s="214"/>
      <c r="EA450" s="214"/>
      <c r="EB450" s="214"/>
      <c r="EC450" s="214"/>
    </row>
  </sheetData>
  <sheetProtection algorithmName="SHA-512" hashValue="M+J1/k2zMaR2XnPBDSKq+vK7caJcA4ogvWjVbFbeGrC1CDhId8LBGA7ocY7+DcN771a5lOvqMnCsxcr9P0Uacg==" saltValue="r2wZ/cPdzxaJpbwsjWQBxw==" spinCount="100000" sheet="1" objects="1" scenarios="1"/>
  <conditionalFormatting sqref="A8:T23 A32:T46 A55:T70">
    <cfRule type="expression" dxfId="3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8" max="16383" man="1" pt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B175D-2154-0B44-8F6A-94D4F37B9FD8}">
  <sheetPr codeName="Sheet7">
    <tabColor theme="6"/>
  </sheetPr>
  <dimension ref="A1:DR448"/>
  <sheetViews>
    <sheetView zoomScale="90" zoomScaleNormal="90" zoomScalePageLayoutView="125" workbookViewId="0">
      <selection activeCell="C48" activeCellId="2" sqref="C5 C26:C28 C48:C50"/>
    </sheetView>
  </sheetViews>
  <sheetFormatPr baseColWidth="10" defaultRowHeight="13" x14ac:dyDescent="0.15"/>
  <cols>
    <col min="1" max="2" width="20.33203125" style="212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26" customWidth="1"/>
    <col min="50" max="122" width="10.83203125" style="226"/>
    <col min="123" max="16384" width="10.83203125" style="212"/>
  </cols>
  <sheetData>
    <row r="1" spans="1:122" s="226" customFormat="1" ht="14" x14ac:dyDescent="0.15">
      <c r="A1" s="228" t="s">
        <v>31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8"/>
      <c r="AT1" s="228"/>
      <c r="AU1" s="228"/>
      <c r="AV1" s="228"/>
      <c r="AW1" s="228"/>
    </row>
    <row r="2" spans="1:122" s="226" customFormat="1" ht="14" x14ac:dyDescent="0.15">
      <c r="A2" s="229" t="s">
        <v>236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</row>
    <row r="3" spans="1:122" s="226" customFormat="1" ht="15" thickBot="1" x14ac:dyDescent="0.2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</row>
    <row r="4" spans="1:122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122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72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122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72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</row>
    <row r="7" spans="1:122" ht="75" x14ac:dyDescent="0.15">
      <c r="A7" s="230" t="s">
        <v>216</v>
      </c>
      <c r="B7" s="231" t="s">
        <v>198</v>
      </c>
      <c r="C7" s="173" t="s">
        <v>199</v>
      </c>
      <c r="D7" s="173" t="s">
        <v>200</v>
      </c>
      <c r="E7" s="173" t="s">
        <v>201</v>
      </c>
      <c r="F7" s="230" t="s">
        <v>202</v>
      </c>
      <c r="G7" s="173" t="s">
        <v>163</v>
      </c>
      <c r="H7" s="232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</row>
    <row r="8" spans="1:122" ht="14" x14ac:dyDescent="0.15">
      <c r="A8" s="234" t="str">
        <f>'SA Oct 2017'!K2</f>
        <v>AGL</v>
      </c>
      <c r="B8" s="180" t="str">
        <f>'SA Oct 2017'!L2</f>
        <v xml:space="preserve">Business Savers </v>
      </c>
      <c r="C8" s="181">
        <f>91*'SA Oct 2017'!M2/100</f>
        <v>82.81</v>
      </c>
      <c r="D8" s="181">
        <f>$C$5*'SA Oct 2017'!N2/100</f>
        <v>2150</v>
      </c>
      <c r="E8" s="181">
        <v>0</v>
      </c>
      <c r="F8" s="182">
        <v>0</v>
      </c>
      <c r="G8" s="183">
        <v>0</v>
      </c>
      <c r="H8" s="184">
        <f>IF(($C$5&lt;'SA Oct 2017'!P2),(0),('SA Bills October 2017'!$C$5-'SA Oct 2017'!P2)*'SA Oct 2017'!Q2/100)</f>
        <v>0</v>
      </c>
      <c r="I8" s="185">
        <f>SUM(C8:H8)</f>
        <v>2232.81</v>
      </c>
      <c r="J8" s="186">
        <f>I8*4</f>
        <v>8931.24</v>
      </c>
      <c r="K8" s="187">
        <v>0</v>
      </c>
      <c r="L8" s="187">
        <f>'SA Oct 2017'!BA2</f>
        <v>16</v>
      </c>
      <c r="M8" s="187">
        <f>'SA Oct 2017'!BB2</f>
        <v>0</v>
      </c>
      <c r="N8" s="187">
        <f>'SA Oct 2017'!BC2</f>
        <v>0</v>
      </c>
      <c r="O8" s="186">
        <f>J8-((I8-C8)*L8/100)*4</f>
        <v>7555.24</v>
      </c>
      <c r="P8" s="186">
        <f>O8</f>
        <v>7555.24</v>
      </c>
      <c r="Q8" s="186">
        <f>O8*1.1</f>
        <v>8310.764000000001</v>
      </c>
      <c r="R8" s="186">
        <f>P8*1.1</f>
        <v>8310.764000000001</v>
      </c>
      <c r="S8" s="188">
        <f>'SA Oct 2017'!BJ2</f>
        <v>0</v>
      </c>
      <c r="T8" s="189" t="str">
        <f>'SA Oct 2017'!BK2</f>
        <v>n</v>
      </c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212"/>
      <c r="CO8" s="212"/>
      <c r="CP8" s="212"/>
      <c r="CQ8" s="212"/>
      <c r="CR8" s="212"/>
      <c r="CS8" s="212"/>
      <c r="CT8" s="212"/>
      <c r="CU8" s="212"/>
      <c r="CV8" s="212"/>
      <c r="CW8" s="212"/>
      <c r="CX8" s="212"/>
      <c r="CY8" s="212"/>
      <c r="CZ8" s="212"/>
      <c r="DA8" s="212"/>
      <c r="DB8" s="212"/>
      <c r="DC8" s="212"/>
      <c r="DD8" s="212"/>
      <c r="DE8" s="212"/>
      <c r="DF8" s="212"/>
      <c r="DG8" s="212"/>
      <c r="DH8" s="212"/>
      <c r="DI8" s="212"/>
      <c r="DJ8" s="212"/>
      <c r="DK8" s="212"/>
      <c r="DL8" s="212"/>
      <c r="DM8" s="212"/>
      <c r="DN8" s="212"/>
      <c r="DO8" s="212"/>
      <c r="DP8" s="212"/>
      <c r="DQ8" s="212"/>
      <c r="DR8" s="212"/>
    </row>
    <row r="9" spans="1:122" s="226" customFormat="1" ht="14" x14ac:dyDescent="0.15">
      <c r="A9" s="234" t="str">
        <f>'SA Oct 2017'!K3</f>
        <v>Alinta Energy</v>
      </c>
      <c r="B9" s="180" t="str">
        <f>'SA Oct 2017'!L3</f>
        <v>Business Saver</v>
      </c>
      <c r="C9" s="181">
        <f>91*'SA Oct 2017'!M3/100</f>
        <v>89.380200000000002</v>
      </c>
      <c r="D9" s="181">
        <f>IF($C$5&gt;='SA Oct 2017'!P3,('SA Oct 2017'!P3*'SA Oct 2017'!N3/100),('SA Bills October 2017'!$C$5*'SA Oct 2017'!N3/100))</f>
        <v>1108.25</v>
      </c>
      <c r="E9" s="181">
        <v>0</v>
      </c>
      <c r="F9" s="182">
        <v>0</v>
      </c>
      <c r="G9" s="183">
        <v>0</v>
      </c>
      <c r="H9" s="184">
        <f>IF(($C$5&lt;'SA Oct 2017'!P3),(0),('SA Bills October 2017'!$C$5-'SA Oct 2017'!P3)*'SA Oct 2017'!Q3/100)</f>
        <v>1122.25</v>
      </c>
      <c r="I9" s="185">
        <f t="shared" ref="I9:I22" si="0">SUM(C9:H9)</f>
        <v>2319.8802000000001</v>
      </c>
      <c r="J9" s="186">
        <f t="shared" ref="J9:J22" si="1">I9*4</f>
        <v>9279.5208000000002</v>
      </c>
      <c r="K9" s="187">
        <v>0</v>
      </c>
      <c r="L9" s="187">
        <f>'SA Oct 2017'!BA3</f>
        <v>0</v>
      </c>
      <c r="M9" s="187">
        <f>'SA Oct 2017'!BB3</f>
        <v>0</v>
      </c>
      <c r="N9" s="187">
        <f>'SA Oct 2017'!BC3</f>
        <v>28</v>
      </c>
      <c r="O9" s="186">
        <f>J9</f>
        <v>9279.5208000000002</v>
      </c>
      <c r="P9" s="186">
        <f>O9-((I9-C9)*N9/100)*4</f>
        <v>6781.3608000000004</v>
      </c>
      <c r="Q9" s="186">
        <f t="shared" ref="Q9:R22" si="2">O9*1.1</f>
        <v>10207.472880000001</v>
      </c>
      <c r="R9" s="186">
        <f t="shared" si="2"/>
        <v>7459.4968800000006</v>
      </c>
      <c r="S9" s="188">
        <f>'SA Oct 2017'!BJ3</f>
        <v>0</v>
      </c>
      <c r="T9" s="189" t="str">
        <f>'SA Oct 2017'!BK3</f>
        <v>n</v>
      </c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</row>
    <row r="10" spans="1:122" ht="14" x14ac:dyDescent="0.15">
      <c r="A10" s="234" t="str">
        <f>'SA Oct 2017'!K4</f>
        <v>Click Energy</v>
      </c>
      <c r="B10" s="180" t="str">
        <f>'SA Oct 2017'!L4</f>
        <v>Click Business</v>
      </c>
      <c r="C10" s="181">
        <f>91*'SA Oct 2017'!M4/100</f>
        <v>72.072000000000003</v>
      </c>
      <c r="D10" s="181">
        <f>C5*'SA Oct 2017'!N4/100</f>
        <v>2207.9999999999995</v>
      </c>
      <c r="E10" s="181">
        <v>0</v>
      </c>
      <c r="F10" s="182">
        <v>0</v>
      </c>
      <c r="G10" s="183">
        <v>0</v>
      </c>
      <c r="H10" s="184">
        <f>IF(($C$5&lt;'SA Oct 2017'!P4),(0),('SA Bills October 2017'!$C$5-'SA Oct 2017'!P4)*'SA Oct 2017'!Q4/100)</f>
        <v>0</v>
      </c>
      <c r="I10" s="185">
        <f t="shared" si="0"/>
        <v>2280.0719999999997</v>
      </c>
      <c r="J10" s="186">
        <f t="shared" si="1"/>
        <v>9120.2879999999986</v>
      </c>
      <c r="K10" s="187">
        <v>0</v>
      </c>
      <c r="L10" s="187">
        <f>'SA Oct 2017'!BA4</f>
        <v>0</v>
      </c>
      <c r="M10" s="187">
        <f>'SA Oct 2017'!BB4</f>
        <v>7</v>
      </c>
      <c r="N10" s="187">
        <f>'SA Oct 2017'!BC4</f>
        <v>0</v>
      </c>
      <c r="O10" s="186">
        <f>J10</f>
        <v>9120.2879999999986</v>
      </c>
      <c r="P10" s="186">
        <f>O10-(O10*M10/100)</f>
        <v>8481.867839999999</v>
      </c>
      <c r="Q10" s="186">
        <f t="shared" si="2"/>
        <v>10032.316799999999</v>
      </c>
      <c r="R10" s="186">
        <f t="shared" si="2"/>
        <v>9330.0546240000003</v>
      </c>
      <c r="S10" s="188">
        <f>'SA Oct 2017'!BJ4</f>
        <v>0</v>
      </c>
      <c r="T10" s="189" t="str">
        <f>'SA Oct 2017'!BK4</f>
        <v>n</v>
      </c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233"/>
      <c r="AV10" s="233"/>
      <c r="AW10" s="233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</row>
    <row r="11" spans="1:122" s="226" customFormat="1" ht="14" x14ac:dyDescent="0.15">
      <c r="A11" s="234" t="str">
        <f>'SA Oct 2017'!K5</f>
        <v>Commander</v>
      </c>
      <c r="B11" s="180" t="str">
        <f>'SA Oct 2017'!L5</f>
        <v>Market offer</v>
      </c>
      <c r="C11" s="181">
        <f>91*'SA Oct 2017'!M5/100</f>
        <v>81.444999999999993</v>
      </c>
      <c r="D11" s="181">
        <f>$C$5*'SA Oct 2017'!N5/100</f>
        <v>2197.5</v>
      </c>
      <c r="E11" s="181">
        <v>0</v>
      </c>
      <c r="F11" s="182">
        <v>0</v>
      </c>
      <c r="G11" s="183">
        <v>0</v>
      </c>
      <c r="H11" s="184">
        <f>IF(($C$5&lt;'SA Oct 2017'!P5),(0),('SA Bills October 2017'!$C$5-'SA Oct 2017'!P5)*'SA Oct 2017'!Q5/100)</f>
        <v>0</v>
      </c>
      <c r="I11" s="185">
        <f t="shared" si="0"/>
        <v>2278.9450000000002</v>
      </c>
      <c r="J11" s="186">
        <f t="shared" si="1"/>
        <v>9115.7800000000007</v>
      </c>
      <c r="K11" s="187">
        <v>0</v>
      </c>
      <c r="L11" s="187">
        <f>'SA Oct 2017'!BA5</f>
        <v>0</v>
      </c>
      <c r="M11" s="187">
        <f>'SA Oct 2017'!BB5</f>
        <v>0</v>
      </c>
      <c r="N11" s="187">
        <f>'SA Oct 2017'!BC5</f>
        <v>20</v>
      </c>
      <c r="O11" s="186">
        <f>J11</f>
        <v>9115.7800000000007</v>
      </c>
      <c r="P11" s="186">
        <f>O11-((I11-C11)*N11/100)*4</f>
        <v>7357.7800000000007</v>
      </c>
      <c r="Q11" s="186">
        <f t="shared" si="2"/>
        <v>10027.358000000002</v>
      </c>
      <c r="R11" s="186">
        <f t="shared" si="2"/>
        <v>8093.5580000000018</v>
      </c>
      <c r="S11" s="188">
        <f>'SA Oct 2017'!BJ5</f>
        <v>0</v>
      </c>
      <c r="T11" s="189" t="str">
        <f>'SA Oct 2017'!BK5</f>
        <v>n</v>
      </c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</row>
    <row r="12" spans="1:122" ht="14" x14ac:dyDescent="0.15">
      <c r="A12" s="234" t="str">
        <f>'SA Oct 2017'!K6</f>
        <v>Diamond Energy</v>
      </c>
      <c r="B12" s="180" t="str">
        <f>'SA Oct 2017'!L6</f>
        <v>Pay on time discount</v>
      </c>
      <c r="C12" s="181">
        <f>91*'SA Oct 2017'!M6/100</f>
        <v>90.545000000000002</v>
      </c>
      <c r="D12" s="181">
        <f>IF($C$5&gt;='SA Oct 2017'!P6,('SA Oct 2017'!P6*'SA Oct 2017'!N6/100),('SA Bills October 2017'!$C$5*'SA Oct 2017'!N6/100))</f>
        <v>389</v>
      </c>
      <c r="E12" s="181">
        <f>IF($C5&lt;'SA Oct 2017'!P6,0,IF(($C5-'SA Oct 2017'!P6)&lt;='SA Oct 2017'!R6,(($C5-'SA Oct 2017'!P6)*'SA Oct 2017'!Q6/100),((('SA Oct 2017'!R6+'SA Oct 2017'!P6)-('SA Oct 2017'!P6))*'SA Oct 2017'!Q6/100)))</f>
        <v>599.25000000000011</v>
      </c>
      <c r="F12" s="182">
        <v>0</v>
      </c>
      <c r="G12" s="183">
        <v>0</v>
      </c>
      <c r="H12" s="184">
        <f>IF(($C$5&lt;'SA Oct 2017'!R6+'SA Oct 2017'!P6),(0),(('SA Bills October 2017'!$C$5-('SA Oct 2017'!R6+'SA Oct 2017'!P6))*'SA Oct 2017'!S6/100))</f>
        <v>1024.4999999999998</v>
      </c>
      <c r="I12" s="185">
        <f t="shared" si="0"/>
        <v>2103.2950000000001</v>
      </c>
      <c r="J12" s="186">
        <f t="shared" si="1"/>
        <v>8413.18</v>
      </c>
      <c r="K12" s="187">
        <v>0</v>
      </c>
      <c r="L12" s="187">
        <f>'SA Oct 2017'!BA6</f>
        <v>0</v>
      </c>
      <c r="M12" s="187">
        <f>'SA Oct 2017'!BB6</f>
        <v>7</v>
      </c>
      <c r="N12" s="187">
        <f>'SA Oct 2017'!BC6</f>
        <v>0</v>
      </c>
      <c r="O12" s="186">
        <f>J12</f>
        <v>8413.18</v>
      </c>
      <c r="P12" s="186">
        <f>O12-(O12*M12/100)</f>
        <v>7824.2574000000004</v>
      </c>
      <c r="Q12" s="186">
        <f t="shared" si="2"/>
        <v>9254.4980000000014</v>
      </c>
      <c r="R12" s="186">
        <f t="shared" si="2"/>
        <v>8606.683140000001</v>
      </c>
      <c r="S12" s="188">
        <f>'SA Oct 2017'!BJ6</f>
        <v>24</v>
      </c>
      <c r="T12" s="189" t="str">
        <f>'SA Oct 2017'!BK6</f>
        <v>y</v>
      </c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8"/>
      <c r="AU12" s="228"/>
      <c r="AV12" s="228"/>
      <c r="AW12" s="228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</row>
    <row r="13" spans="1:122" s="226" customFormat="1" ht="14" x14ac:dyDescent="0.15">
      <c r="A13" s="234" t="str">
        <f>'SA Oct 2017'!K7</f>
        <v>EnergyAustralia</v>
      </c>
      <c r="B13" s="180" t="str">
        <f>'SA Oct 2017'!L7</f>
        <v>Everyday Saver Business</v>
      </c>
      <c r="C13" s="181">
        <f>91*'SA Oct 2017'!M7/100</f>
        <v>81.536000000000001</v>
      </c>
      <c r="D13" s="181">
        <f>$C$5*'SA Oct 2017'!N7/100</f>
        <v>2310</v>
      </c>
      <c r="E13" s="181">
        <v>0</v>
      </c>
      <c r="F13" s="182">
        <v>0</v>
      </c>
      <c r="G13" s="183">
        <v>0</v>
      </c>
      <c r="H13" s="184">
        <f>IF(($C$5&lt;'SA Oct 2017'!P7),(0),('SA Bills October 2017'!$C$5-'SA Oct 2017'!P7)*'SA Oct 2017'!Q7/100)</f>
        <v>0</v>
      </c>
      <c r="I13" s="185">
        <f t="shared" si="0"/>
        <v>2391.5360000000001</v>
      </c>
      <c r="J13" s="186">
        <f t="shared" si="1"/>
        <v>9566.1440000000002</v>
      </c>
      <c r="K13" s="187">
        <v>0</v>
      </c>
      <c r="L13" s="187">
        <f>'SA Oct 2017'!BA7</f>
        <v>16</v>
      </c>
      <c r="M13" s="187">
        <f>'SA Oct 2017'!BB7</f>
        <v>0</v>
      </c>
      <c r="N13" s="187">
        <f>'SA Oct 2017'!BC7</f>
        <v>0</v>
      </c>
      <c r="O13" s="186">
        <f>J13-((I13-C13)*L13/100)*4</f>
        <v>8087.7440000000006</v>
      </c>
      <c r="P13" s="186">
        <f>O13</f>
        <v>8087.7440000000006</v>
      </c>
      <c r="Q13" s="186">
        <f t="shared" si="2"/>
        <v>8896.5184000000008</v>
      </c>
      <c r="R13" s="186">
        <f t="shared" si="2"/>
        <v>8896.5184000000008</v>
      </c>
      <c r="S13" s="188">
        <f>'SA Oct 2017'!BJ7</f>
        <v>24</v>
      </c>
      <c r="T13" s="189" t="str">
        <f>'SA Oct 2017'!BK7</f>
        <v>y</v>
      </c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233"/>
      <c r="AV13" s="233"/>
      <c r="AW13" s="233"/>
    </row>
    <row r="14" spans="1:122" ht="14" x14ac:dyDescent="0.15">
      <c r="A14" s="234" t="str">
        <f>'SA Oct 2017'!K8</f>
        <v>ERM Power</v>
      </c>
      <c r="B14" s="180" t="str">
        <f>'SA Oct 2017'!L8</f>
        <v>Adjustable</v>
      </c>
      <c r="C14" s="181">
        <f>91*'SA Oct 2017'!M8/100</f>
        <v>100.1</v>
      </c>
      <c r="D14" s="181">
        <f>C5*'SA Oct 2017'!N8/100</f>
        <v>2176.0000000000005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2276.1000000000004</v>
      </c>
      <c r="J14" s="186">
        <f t="shared" si="1"/>
        <v>9104.4000000000015</v>
      </c>
      <c r="K14" s="187">
        <v>0</v>
      </c>
      <c r="L14" s="187">
        <f>'SA Oct 2017'!BA8</f>
        <v>0</v>
      </c>
      <c r="M14" s="187">
        <f>'SA Oct 2017'!BB8</f>
        <v>0</v>
      </c>
      <c r="N14" s="187">
        <f>'SA Oct 2017'!BC8</f>
        <v>0</v>
      </c>
      <c r="O14" s="186">
        <f>J14</f>
        <v>9104.4000000000015</v>
      </c>
      <c r="P14" s="186">
        <f>O14</f>
        <v>9104.4000000000015</v>
      </c>
      <c r="Q14" s="186">
        <f t="shared" si="2"/>
        <v>10014.840000000002</v>
      </c>
      <c r="R14" s="186">
        <f t="shared" si="2"/>
        <v>10014.840000000002</v>
      </c>
      <c r="S14" s="188">
        <f>'SA Oct 2017'!BJ8</f>
        <v>0</v>
      </c>
      <c r="T14" s="189" t="str">
        <f>'SA Oct 2017'!BK8</f>
        <v>n</v>
      </c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</row>
    <row r="15" spans="1:122" s="226" customFormat="1" ht="14" x14ac:dyDescent="0.15">
      <c r="A15" s="234" t="str">
        <f>'SA Oct 2017'!K9</f>
        <v>Lumo Energy</v>
      </c>
      <c r="B15" s="180" t="str">
        <f>'SA Oct 2017'!L9</f>
        <v>Business Premium</v>
      </c>
      <c r="C15" s="181">
        <f>91*'SA Oct 2017'!M9/100</f>
        <v>78.587600000000009</v>
      </c>
      <c r="D15" s="181">
        <f>IF($C$5&gt;='SA Oct 2017'!P9,('SA Oct 2017'!P9*'SA Oct 2017'!N9/100),('SA Bills October 2017'!$C$5*'SA Oct 2017'!N9/100))</f>
        <v>832.5</v>
      </c>
      <c r="E15" s="181">
        <v>0</v>
      </c>
      <c r="F15" s="182">
        <v>0</v>
      </c>
      <c r="G15" s="183">
        <v>0</v>
      </c>
      <c r="H15" s="184">
        <f>IF(($C$5&lt;'SA Oct 2017'!P9),(0),('SA Bills October 2017'!$C$5-'SA Oct 2017'!P9)*'SA Oct 2017'!Q9/100)</f>
        <v>875</v>
      </c>
      <c r="I15" s="185">
        <f t="shared" si="0"/>
        <v>1786.0876000000001</v>
      </c>
      <c r="J15" s="186">
        <f t="shared" si="1"/>
        <v>7144.3504000000003</v>
      </c>
      <c r="K15" s="187">
        <v>0</v>
      </c>
      <c r="L15" s="187">
        <f>'SA Oct 2017'!BA9</f>
        <v>0</v>
      </c>
      <c r="M15" s="187">
        <f>'SA Oct 2017'!BB9</f>
        <v>0</v>
      </c>
      <c r="N15" s="187">
        <f>'SA Oct 2017'!BC9</f>
        <v>0</v>
      </c>
      <c r="O15" s="186">
        <f t="shared" ref="O15:O16" si="3">J15</f>
        <v>7144.3504000000003</v>
      </c>
      <c r="P15" s="186">
        <f t="shared" ref="P15:P18" si="4">O15</f>
        <v>7144.3504000000003</v>
      </c>
      <c r="Q15" s="186">
        <f t="shared" si="2"/>
        <v>7858.7854400000006</v>
      </c>
      <c r="R15" s="186">
        <f t="shared" si="2"/>
        <v>7858.7854400000006</v>
      </c>
      <c r="S15" s="188">
        <f>'SA Oct 2017'!BJ9</f>
        <v>36</v>
      </c>
      <c r="T15" s="189" t="str">
        <f>'SA Oct 2017'!BK9</f>
        <v>n</v>
      </c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</row>
    <row r="16" spans="1:122" ht="14" x14ac:dyDescent="0.15">
      <c r="A16" s="234" t="str">
        <f>'SA Oct 2017'!K10</f>
        <v>Momentum Energy</v>
      </c>
      <c r="B16" s="180" t="str">
        <f>'SA Oct 2017'!L10</f>
        <v>SmilePower</v>
      </c>
      <c r="C16" s="181">
        <f>91*'SA Oct 2017'!M10/100</f>
        <v>82.400499999999994</v>
      </c>
      <c r="D16" s="181">
        <f>IF($C$5&gt;='SA Oct 2017'!P10,('SA Oct 2017'!P10*'SA Oct 2017'!N10/100),('SA Bills October 2017'!$C$5*'SA Oct 2017'!N10/100))</f>
        <v>513.48</v>
      </c>
      <c r="E16" s="181">
        <v>0</v>
      </c>
      <c r="F16" s="182">
        <v>0</v>
      </c>
      <c r="G16" s="183">
        <v>0</v>
      </c>
      <c r="H16" s="184">
        <f>IF(($C$5&lt;'SA Oct 2017'!P10),(0),('SA Bills October 2017'!$C$5-'SA Oct 2017'!P10)*'SA Oct 2017'!Q10/100)</f>
        <v>1593.34</v>
      </c>
      <c r="I16" s="185">
        <f t="shared" si="0"/>
        <v>2189.2204999999999</v>
      </c>
      <c r="J16" s="186">
        <f t="shared" si="1"/>
        <v>8756.8819999999996</v>
      </c>
      <c r="K16" s="187">
        <v>0</v>
      </c>
      <c r="L16" s="187">
        <f>'SA Oct 2017'!BA10</f>
        <v>0</v>
      </c>
      <c r="M16" s="187">
        <f>'SA Oct 2017'!BB10</f>
        <v>0</v>
      </c>
      <c r="N16" s="187">
        <f>'SA Oct 2017'!BC10</f>
        <v>0</v>
      </c>
      <c r="O16" s="186">
        <f t="shared" si="3"/>
        <v>8756.8819999999996</v>
      </c>
      <c r="P16" s="186">
        <f t="shared" si="4"/>
        <v>8756.8819999999996</v>
      </c>
      <c r="Q16" s="186">
        <f t="shared" si="2"/>
        <v>9632.5702000000001</v>
      </c>
      <c r="R16" s="186">
        <f t="shared" si="2"/>
        <v>9632.5702000000001</v>
      </c>
      <c r="S16" s="188">
        <f>'SA Oct 2017'!BJ10</f>
        <v>12</v>
      </c>
      <c r="T16" s="189" t="str">
        <f>'SA Oct 2017'!BK10</f>
        <v>y</v>
      </c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</row>
    <row r="17" spans="1:122" s="226" customFormat="1" ht="14" x14ac:dyDescent="0.15">
      <c r="A17" s="234" t="str">
        <f>'SA Oct 2017'!K11</f>
        <v>Origin Energy</v>
      </c>
      <c r="B17" s="180" t="str">
        <f>'SA Oct 2017'!L11</f>
        <v>Business Saver</v>
      </c>
      <c r="C17" s="181">
        <f>91*'SA Oct 2017'!M11/100</f>
        <v>82.764500000000012</v>
      </c>
      <c r="D17" s="181">
        <f>C5*'SA Oct 2017'!N11/100</f>
        <v>2016.5</v>
      </c>
      <c r="E17" s="181">
        <v>0</v>
      </c>
      <c r="F17" s="182">
        <v>0</v>
      </c>
      <c r="G17" s="183">
        <v>0</v>
      </c>
      <c r="H17" s="184">
        <f>IF(($C$5&lt;'SA Oct 2017'!P11),(0),('SA Bills October 2017'!$C$5-'SA Oct 2017'!P11)*'SA Oct 2017'!Q11/100)</f>
        <v>0</v>
      </c>
      <c r="I17" s="185">
        <f t="shared" si="0"/>
        <v>2099.2645000000002</v>
      </c>
      <c r="J17" s="186">
        <f t="shared" si="1"/>
        <v>8397.0580000000009</v>
      </c>
      <c r="K17" s="187">
        <v>0</v>
      </c>
      <c r="L17" s="187">
        <f>'SA Oct 2017'!BA11</f>
        <v>16</v>
      </c>
      <c r="M17" s="187">
        <f>'SA Oct 2017'!BB11</f>
        <v>0</v>
      </c>
      <c r="N17" s="187">
        <f>'SA Oct 2017'!BC11</f>
        <v>0</v>
      </c>
      <c r="O17" s="186">
        <f>J17-((I17-C17)*L17/100)*4</f>
        <v>7106.4980000000005</v>
      </c>
      <c r="P17" s="186">
        <f>O17</f>
        <v>7106.4980000000005</v>
      </c>
      <c r="Q17" s="186">
        <f t="shared" si="2"/>
        <v>7817.1478000000016</v>
      </c>
      <c r="R17" s="186">
        <f t="shared" si="2"/>
        <v>7817.1478000000016</v>
      </c>
      <c r="S17" s="188">
        <f>'SA Oct 2017'!BJ11</f>
        <v>12</v>
      </c>
      <c r="T17" s="189" t="str">
        <f>'SA Oct 2017'!BK11</f>
        <v>y</v>
      </c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</row>
    <row r="18" spans="1:122" ht="14" x14ac:dyDescent="0.15">
      <c r="A18" s="234" t="str">
        <f>'SA Oct 2017'!K12</f>
        <v>Powerdirect</v>
      </c>
      <c r="B18" s="180" t="str">
        <f>'SA Oct 2017'!L12</f>
        <v>Quarterly read</v>
      </c>
      <c r="C18" s="181">
        <f>91*'SA Oct 2017'!M12/100</f>
        <v>82.81</v>
      </c>
      <c r="D18" s="181">
        <f>C5*'SA Oct 2017'!N12/100</f>
        <v>1806</v>
      </c>
      <c r="E18" s="181">
        <v>0</v>
      </c>
      <c r="F18" s="182">
        <v>0</v>
      </c>
      <c r="G18" s="183">
        <v>0</v>
      </c>
      <c r="H18" s="184">
        <f>IF(($C$5&lt;'SA Oct 2017'!P12),(0),('SA Bills October 2017'!$C$5-'SA Oct 2017'!P12)*'SA Oct 2017'!Q12/100)</f>
        <v>0</v>
      </c>
      <c r="I18" s="185">
        <f t="shared" si="0"/>
        <v>1888.81</v>
      </c>
      <c r="J18" s="186">
        <f t="shared" si="1"/>
        <v>7555.24</v>
      </c>
      <c r="K18" s="187">
        <v>0</v>
      </c>
      <c r="L18" s="187">
        <f>'SA Oct 2017'!BA12</f>
        <v>0</v>
      </c>
      <c r="M18" s="187">
        <f>'SA Oct 2017'!BB12</f>
        <v>0</v>
      </c>
      <c r="N18" s="187">
        <f>'SA Oct 2017'!BC12</f>
        <v>0</v>
      </c>
      <c r="O18" s="186">
        <f t="shared" ref="O18" si="5">J18</f>
        <v>7555.24</v>
      </c>
      <c r="P18" s="186">
        <f t="shared" si="4"/>
        <v>7555.24</v>
      </c>
      <c r="Q18" s="186">
        <f t="shared" si="2"/>
        <v>8310.764000000001</v>
      </c>
      <c r="R18" s="186">
        <f t="shared" si="2"/>
        <v>8310.764000000001</v>
      </c>
      <c r="S18" s="188">
        <f>'SA Oct 2017'!BJ12</f>
        <v>0</v>
      </c>
      <c r="T18" s="189" t="str">
        <f>'SA Oct 2017'!BK12</f>
        <v>n</v>
      </c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</row>
    <row r="19" spans="1:122" s="226" customFormat="1" ht="14" x14ac:dyDescent="0.15">
      <c r="A19" s="234" t="str">
        <f>'SA Oct 2017'!K13</f>
        <v>Red Energy</v>
      </c>
      <c r="B19" s="180" t="str">
        <f>'SA Oct 2017'!L13</f>
        <v>No exit fee saver</v>
      </c>
      <c r="C19" s="181">
        <f>91*'SA Oct 2017'!M13/100</f>
        <v>93.275000000000006</v>
      </c>
      <c r="D19" s="181">
        <f>IF($C$5&gt;='SA Oct 2017'!P13,('SA Oct 2017'!P13*'SA Oct 2017'!N13/100),('SA Bills October 2017'!$C$5*'SA Oct 2017'!N13/100))</f>
        <v>1020</v>
      </c>
      <c r="E19" s="181">
        <v>0</v>
      </c>
      <c r="F19" s="182">
        <v>0</v>
      </c>
      <c r="G19" s="183">
        <v>0</v>
      </c>
      <c r="H19" s="184">
        <f>IF(($C$5&lt;'SA Oct 2017'!P13),(0),('SA Bills October 2017'!$C$5-'SA Oct 2017'!P13)*'SA Oct 2017'!Q13/100)</f>
        <v>1070.75</v>
      </c>
      <c r="I19" s="185">
        <f t="shared" si="0"/>
        <v>2184.0250000000001</v>
      </c>
      <c r="J19" s="186">
        <f t="shared" si="1"/>
        <v>8736.1</v>
      </c>
      <c r="K19" s="187">
        <v>0</v>
      </c>
      <c r="L19" s="187">
        <f>'SA Oct 2017'!BA13</f>
        <v>0</v>
      </c>
      <c r="M19" s="187">
        <f>'SA Oct 2017'!BB13</f>
        <v>10</v>
      </c>
      <c r="N19" s="187">
        <f>'SA Oct 2017'!BC13</f>
        <v>0</v>
      </c>
      <c r="O19" s="186">
        <f>J19</f>
        <v>8736.1</v>
      </c>
      <c r="P19" s="186">
        <f>O19-(O19*M19/100)</f>
        <v>7862.4900000000007</v>
      </c>
      <c r="Q19" s="186">
        <f t="shared" si="2"/>
        <v>9609.7100000000009</v>
      </c>
      <c r="R19" s="186">
        <f t="shared" si="2"/>
        <v>8648.7390000000014</v>
      </c>
      <c r="S19" s="188">
        <f>'SA Oct 2017'!BJ13</f>
        <v>0</v>
      </c>
      <c r="T19" s="189" t="str">
        <f>'SA Oct 2017'!BK13</f>
        <v>n</v>
      </c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</row>
    <row r="20" spans="1:122" ht="14" x14ac:dyDescent="0.15">
      <c r="A20" s="234" t="str">
        <f>'SA Oct 2017'!K14</f>
        <v>Simply Energy</v>
      </c>
      <c r="B20" s="180" t="str">
        <f>'SA Oct 2017'!L14</f>
        <v>Business Plus Online</v>
      </c>
      <c r="C20" s="181">
        <f>91*'SA Oct 2017'!M14/100</f>
        <v>90.626900000000006</v>
      </c>
      <c r="D20" s="181">
        <f>$C$5*'SA Oct 2017'!N14/100</f>
        <v>2043.5</v>
      </c>
      <c r="E20" s="181">
        <v>0</v>
      </c>
      <c r="F20" s="182">
        <v>0</v>
      </c>
      <c r="G20" s="183">
        <v>0</v>
      </c>
      <c r="H20" s="184">
        <f>IF(($C$5&lt;'SA Oct 2017'!P14),(0),('SA Bills October 2017'!$C$5-'SA Oct 2017'!P14)*'SA Oct 2017'!Q14/100)</f>
        <v>0</v>
      </c>
      <c r="I20" s="185">
        <f t="shared" si="0"/>
        <v>2134.1269000000002</v>
      </c>
      <c r="J20" s="186">
        <f t="shared" si="1"/>
        <v>8536.5076000000008</v>
      </c>
      <c r="K20" s="187">
        <v>0</v>
      </c>
      <c r="L20" s="187">
        <f>'SA Oct 2017'!BA14</f>
        <v>15</v>
      </c>
      <c r="M20" s="187">
        <f>'SA Oct 2017'!BB14</f>
        <v>0</v>
      </c>
      <c r="N20" s="187">
        <f>'SA Oct 2017'!BC14</f>
        <v>0</v>
      </c>
      <c r="O20" s="186">
        <f>J20-((I20-C20)*L20/100)*4</f>
        <v>7310.4076000000005</v>
      </c>
      <c r="P20" s="186">
        <f>O20</f>
        <v>7310.4076000000005</v>
      </c>
      <c r="Q20" s="186">
        <f t="shared" si="2"/>
        <v>8041.4483600000012</v>
      </c>
      <c r="R20" s="186">
        <f t="shared" si="2"/>
        <v>8041.4483600000012</v>
      </c>
      <c r="S20" s="188">
        <f>'SA Oct 2017'!BJ14</f>
        <v>24</v>
      </c>
      <c r="T20" s="189" t="str">
        <f>'SA Oct 2017'!BK14</f>
        <v>y</v>
      </c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</row>
    <row r="21" spans="1:122" s="226" customFormat="1" ht="14" x14ac:dyDescent="0.15">
      <c r="A21" s="234" t="str">
        <f>'SA Oct 2017'!K15</f>
        <v>Blue NRG</v>
      </c>
      <c r="B21" s="180" t="str">
        <f>'SA Oct 2017'!L15</f>
        <v>Market offer</v>
      </c>
      <c r="C21" s="181">
        <f>91*'SA Oct 2017'!M15/100</f>
        <v>91</v>
      </c>
      <c r="D21" s="181">
        <f>$C$5*'SA Oct 2017'!N15/100</f>
        <v>2100</v>
      </c>
      <c r="E21" s="181">
        <v>0</v>
      </c>
      <c r="F21" s="182">
        <v>0</v>
      </c>
      <c r="G21" s="183">
        <v>0</v>
      </c>
      <c r="H21" s="184">
        <f>IF(($C$5&lt;'SA Oct 2017'!P15),(0),('SA Bills October 2017'!$C$5-'SA Oct 2017'!P15)*'SA Oct 2017'!Q15/100)</f>
        <v>0</v>
      </c>
      <c r="I21" s="185">
        <f t="shared" si="0"/>
        <v>2191</v>
      </c>
      <c r="J21" s="186">
        <f t="shared" si="1"/>
        <v>8764</v>
      </c>
      <c r="K21" s="187">
        <v>0</v>
      </c>
      <c r="L21" s="187">
        <f>'SA Oct 2017'!BA15</f>
        <v>0</v>
      </c>
      <c r="M21" s="187">
        <f>'SA Oct 2017'!BB15</f>
        <v>0</v>
      </c>
      <c r="N21" s="187">
        <f>'SA Oct 2017'!BC15</f>
        <v>0</v>
      </c>
      <c r="O21" s="186">
        <f>J21</f>
        <v>8764</v>
      </c>
      <c r="P21" s="186">
        <f t="shared" ref="P21:P22" si="6">O21</f>
        <v>8764</v>
      </c>
      <c r="Q21" s="186">
        <f t="shared" si="2"/>
        <v>9640.4000000000015</v>
      </c>
      <c r="R21" s="186">
        <f t="shared" si="2"/>
        <v>9640.4000000000015</v>
      </c>
      <c r="S21" s="188">
        <f>'SA Oct 2017'!BJ15</f>
        <v>0</v>
      </c>
      <c r="T21" s="189" t="str">
        <f>'SA Oct 2017'!BK15</f>
        <v>n</v>
      </c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</row>
    <row r="22" spans="1:122" ht="15" thickBot="1" x14ac:dyDescent="0.2">
      <c r="A22" s="235" t="str">
        <f>'SA Oct 2017'!K16</f>
        <v>Q Energy</v>
      </c>
      <c r="B22" s="207" t="str">
        <f>'SA Oct 2017'!L16</f>
        <v>Flexi Biz</v>
      </c>
      <c r="C22" s="193">
        <f>91*'SA Oct 2017'!M16/100</f>
        <v>81.900000000000006</v>
      </c>
      <c r="D22" s="193">
        <f>$C$5*'SA Oct 2017'!N16/100</f>
        <v>1600</v>
      </c>
      <c r="E22" s="193">
        <v>0</v>
      </c>
      <c r="F22" s="208">
        <v>0</v>
      </c>
      <c r="G22" s="194">
        <v>0</v>
      </c>
      <c r="H22" s="209">
        <f>IF(($C$5&lt;'SA Oct 2017'!P16),(0),('SA Bills October 2017'!$C$5-'SA Oct 2017'!P16)*'SA Oct 2017'!Q16/100)</f>
        <v>0</v>
      </c>
      <c r="I22" s="195">
        <f t="shared" si="0"/>
        <v>1681.9</v>
      </c>
      <c r="J22" s="196">
        <f t="shared" si="1"/>
        <v>6727.6</v>
      </c>
      <c r="K22" s="197">
        <v>0</v>
      </c>
      <c r="L22" s="197">
        <f>'SA Oct 2017'!BA16</f>
        <v>0</v>
      </c>
      <c r="M22" s="197">
        <f>'SA Oct 2017'!BB16</f>
        <v>0</v>
      </c>
      <c r="N22" s="197">
        <f>'SA Oct 2017'!BC16</f>
        <v>0</v>
      </c>
      <c r="O22" s="196">
        <f>J22</f>
        <v>6727.6</v>
      </c>
      <c r="P22" s="196">
        <f t="shared" si="6"/>
        <v>6727.6</v>
      </c>
      <c r="Q22" s="196">
        <f t="shared" si="2"/>
        <v>7400.3600000000006</v>
      </c>
      <c r="R22" s="196">
        <f t="shared" si="2"/>
        <v>7400.3600000000006</v>
      </c>
      <c r="S22" s="198">
        <f>'SA Oct 2017'!BJ16</f>
        <v>24</v>
      </c>
      <c r="T22" s="199" t="str">
        <f>'SA Oct 2017'!BK16</f>
        <v>y</v>
      </c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</row>
    <row r="23" spans="1:122" s="226" customFormat="1" ht="14" x14ac:dyDescent="0.15">
      <c r="A23" s="228"/>
      <c r="B23" s="228"/>
      <c r="C23" s="236"/>
      <c r="D23" s="236"/>
      <c r="E23" s="236"/>
      <c r="F23" s="236"/>
      <c r="G23" s="236"/>
      <c r="H23" s="236"/>
      <c r="I23" s="237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</row>
    <row r="24" spans="1:122" s="226" customFormat="1" ht="15" thickBot="1" x14ac:dyDescent="0.2">
      <c r="A24" s="228"/>
      <c r="B24" s="228"/>
      <c r="C24" s="236"/>
      <c r="D24" s="236"/>
      <c r="E24" s="236"/>
      <c r="F24" s="236"/>
      <c r="G24" s="236"/>
      <c r="H24" s="236"/>
      <c r="I24" s="237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</row>
    <row r="25" spans="1:122" ht="14" x14ac:dyDescent="0.15">
      <c r="A25" s="165" t="s">
        <v>84</v>
      </c>
      <c r="B25" s="166"/>
      <c r="C25" s="166"/>
      <c r="D25" s="202"/>
      <c r="E25" s="202"/>
      <c r="F25" s="202"/>
      <c r="G25" s="202"/>
      <c r="H25" s="202"/>
      <c r="I25" s="203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8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</row>
    <row r="26" spans="1:122" ht="14" x14ac:dyDescent="0.15">
      <c r="A26" s="169" t="s">
        <v>197</v>
      </c>
      <c r="B26" s="134"/>
      <c r="C26" s="170">
        <v>5000</v>
      </c>
      <c r="D26" s="204"/>
      <c r="E26" s="204"/>
      <c r="F26" s="204"/>
      <c r="G26" s="204"/>
      <c r="H26" s="204"/>
      <c r="I26" s="205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72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</row>
    <row r="27" spans="1:122" ht="14" x14ac:dyDescent="0.15">
      <c r="A27" s="169" t="s">
        <v>85</v>
      </c>
      <c r="B27" s="134"/>
      <c r="C27" s="206">
        <v>0.7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</row>
    <row r="28" spans="1:122" ht="14" x14ac:dyDescent="0.15">
      <c r="A28" s="169" t="s">
        <v>171</v>
      </c>
      <c r="B28" s="134"/>
      <c r="C28" s="206">
        <v>0.3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</row>
    <row r="29" spans="1:122" ht="14" x14ac:dyDescent="0.15">
      <c r="A29" s="169"/>
      <c r="B29" s="134"/>
      <c r="C29" s="204"/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</row>
    <row r="30" spans="1:122" ht="75" x14ac:dyDescent="0.15">
      <c r="A30" s="230" t="s">
        <v>216</v>
      </c>
      <c r="B30" s="232" t="s">
        <v>198</v>
      </c>
      <c r="C30" s="232" t="s">
        <v>199</v>
      </c>
      <c r="D30" s="173" t="s">
        <v>200</v>
      </c>
      <c r="E30" s="173" t="s">
        <v>201</v>
      </c>
      <c r="F30" s="173" t="s">
        <v>164</v>
      </c>
      <c r="G30" s="173" t="s">
        <v>84</v>
      </c>
      <c r="H30" s="173" t="s">
        <v>233</v>
      </c>
      <c r="I30" s="173" t="s">
        <v>165</v>
      </c>
      <c r="J30" s="174" t="s">
        <v>166</v>
      </c>
      <c r="K30" s="175" t="s">
        <v>167</v>
      </c>
      <c r="L30" s="175" t="s">
        <v>168</v>
      </c>
      <c r="M30" s="175" t="s">
        <v>169</v>
      </c>
      <c r="N30" s="175" t="s">
        <v>170</v>
      </c>
      <c r="O30" s="238" t="s">
        <v>579</v>
      </c>
      <c r="P30" s="176" t="s">
        <v>580</v>
      </c>
      <c r="Q30" s="176" t="s">
        <v>227</v>
      </c>
      <c r="R30" s="176" t="s">
        <v>272</v>
      </c>
      <c r="S30" s="239" t="s">
        <v>82</v>
      </c>
      <c r="T30" s="177" t="s">
        <v>83</v>
      </c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  <c r="AU30" s="228"/>
      <c r="AV30" s="228"/>
      <c r="AW30" s="228"/>
    </row>
    <row r="31" spans="1:122" s="225" customFormat="1" ht="14" x14ac:dyDescent="0.15">
      <c r="A31" s="234" t="str">
        <f>'SA Oct 2017'!K17</f>
        <v>AGL</v>
      </c>
      <c r="B31" s="180" t="str">
        <f>'SA Oct 2017'!L17</f>
        <v xml:space="preserve">Business Savers </v>
      </c>
      <c r="C31" s="181">
        <f>91*'SA Oct 2017'!M17/100</f>
        <v>82.81</v>
      </c>
      <c r="D31" s="181">
        <f>($C$26*$C$27)*'SA Oct 2017'!N17/100</f>
        <v>1505</v>
      </c>
      <c r="E31" s="181">
        <v>0</v>
      </c>
      <c r="F31" s="181">
        <f>IF($C$26*$C$27&lt;'SA Oct 2017'!P17,(0),((('SA Bills October 2017'!$C$26*'SA Bills October 2017'!$C$27)-('SA Oct 2017'!P17))*'SA Oct 2017'!Q17/100))</f>
        <v>0</v>
      </c>
      <c r="G31" s="181">
        <f>($C$26*$C$28)*'SA Oct 2017'!AF17/100</f>
        <v>330</v>
      </c>
      <c r="H31" s="240">
        <v>0</v>
      </c>
      <c r="I31" s="185">
        <f t="shared" ref="I31:I44" si="7">SUM(C31:G31)</f>
        <v>1917.81</v>
      </c>
      <c r="J31" s="186">
        <f>I31*4</f>
        <v>7671.24</v>
      </c>
      <c r="K31" s="187">
        <v>0</v>
      </c>
      <c r="L31" s="187">
        <f>'SA Oct 2017'!BA17</f>
        <v>16</v>
      </c>
      <c r="M31" s="187">
        <f>'SA Oct 2017'!BB17</f>
        <v>0</v>
      </c>
      <c r="N31" s="187">
        <f>'SA Oct 2017'!BC17</f>
        <v>0</v>
      </c>
      <c r="O31" s="186">
        <f>J31-((I31-C31)*L31/100)*4</f>
        <v>6496.84</v>
      </c>
      <c r="P31" s="186">
        <f>O31</f>
        <v>6496.84</v>
      </c>
      <c r="Q31" s="186">
        <f>O31*1.1</f>
        <v>7146.5240000000003</v>
      </c>
      <c r="R31" s="186">
        <f>P31*1.1</f>
        <v>7146.5240000000003</v>
      </c>
      <c r="S31" s="188">
        <f>'SA Oct 2017'!BJ25</f>
        <v>12</v>
      </c>
      <c r="T31" s="189" t="str">
        <f>'SA Oct 2017'!BK25</f>
        <v>y</v>
      </c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233"/>
      <c r="AV31" s="233"/>
      <c r="AW31" s="233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</row>
    <row r="32" spans="1:122" s="226" customFormat="1" ht="14" x14ac:dyDescent="0.15">
      <c r="A32" s="234" t="str">
        <f>'SA Oct 2017'!K18</f>
        <v>Alinta Energy</v>
      </c>
      <c r="B32" s="180" t="str">
        <f>'SA Oct 2017'!L18</f>
        <v>Business Saver</v>
      </c>
      <c r="C32" s="181">
        <f>91*'SA Oct 2017'!M18/100</f>
        <v>89.380200000000002</v>
      </c>
      <c r="D32" s="181">
        <f>IF(($C$26*$C$27)&gt;='SA Oct 2017'!P18,('SA Oct 2017'!P18*'SA Oct 2017'!N18/100),(('SA Bills October 2017'!$C$26*'SA Bills October 2017'!$C$27)*'SA Oct 2017'!N18/100))</f>
        <v>1108.25</v>
      </c>
      <c r="E32" s="181">
        <v>0</v>
      </c>
      <c r="F32" s="181">
        <f>IF($C$26*$C$27&lt;'SA Oct 2017'!P18,(0),((('SA Bills October 2017'!$C$26*'SA Bills October 2017'!$C$27)-('SA Oct 2017'!P18))*'SA Oct 2017'!Q18/100))</f>
        <v>448.9</v>
      </c>
      <c r="G32" s="181">
        <f>IF(($C$26*$C$28)&gt;='SA Oct 2017'!AG18,('SA Oct 2017'!AG18*'SA Oct 2017'!AF18/100),(('SA Bills October 2017'!$C$26*'SA Bills October 2017'!$C$28)*'SA Oct 2017'!AF18/100))</f>
        <v>308.25</v>
      </c>
      <c r="H32" s="240">
        <f>IF($C$26*$C$28&lt;'SA Oct 2017'!AG18,(0),((('SA Bills October 2017'!$C$26*'SA Bills October 2017'!$C$28)-('SA Oct 2017'!AG18))*'SA Oct 2017'!AH18/100))</f>
        <v>0</v>
      </c>
      <c r="I32" s="185">
        <f t="shared" si="7"/>
        <v>1954.7802000000001</v>
      </c>
      <c r="J32" s="186">
        <f t="shared" ref="J32:J44" si="8">I32*4</f>
        <v>7819.1208000000006</v>
      </c>
      <c r="K32" s="187">
        <v>0</v>
      </c>
      <c r="L32" s="187">
        <f>'SA Oct 2017'!BA18</f>
        <v>0</v>
      </c>
      <c r="M32" s="187">
        <f>'SA Oct 2017'!BB18</f>
        <v>0</v>
      </c>
      <c r="N32" s="187">
        <f>'SA Oct 2017'!BC18</f>
        <v>28</v>
      </c>
      <c r="O32" s="186">
        <f>J32</f>
        <v>7819.1208000000006</v>
      </c>
      <c r="P32" s="186">
        <f>O32-((I32-C32)*N32/100)*4</f>
        <v>5729.872800000001</v>
      </c>
      <c r="Q32" s="186">
        <f t="shared" ref="Q32:R44" si="9">O32*1.1</f>
        <v>8601.0328800000007</v>
      </c>
      <c r="R32" s="186">
        <f t="shared" si="9"/>
        <v>6302.8600800000013</v>
      </c>
      <c r="S32" s="188">
        <f>'SA Oct 2017'!BJ26</f>
        <v>0</v>
      </c>
      <c r="T32" s="189" t="str">
        <f>'SA Oct 2017'!BK26</f>
        <v>n</v>
      </c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</row>
    <row r="33" spans="1:69" s="225" customFormat="1" ht="14" x14ac:dyDescent="0.15">
      <c r="A33" s="234" t="str">
        <f>'SA Oct 2017'!K19</f>
        <v>Click Energy</v>
      </c>
      <c r="B33" s="180" t="str">
        <f>'SA Oct 2017'!L19</f>
        <v>Click Business</v>
      </c>
      <c r="C33" s="181">
        <f>91*'SA Oct 2017'!M19/100</f>
        <v>72.072000000000003</v>
      </c>
      <c r="D33" s="181">
        <f>($C$26*$C$27)*'SA Oct 2017'!N19/100</f>
        <v>1545.6</v>
      </c>
      <c r="E33" s="181">
        <v>0</v>
      </c>
      <c r="F33" s="181">
        <f>IF($C$26*$C$27&lt;'SA Oct 2017'!P19,(0),((('SA Bills October 2017'!$C$26*'SA Bills October 2017'!$C$27)-('SA Oct 2017'!P19))*'SA Oct 2017'!Q19/100))</f>
        <v>0</v>
      </c>
      <c r="G33" s="181">
        <f>($C$26*$C$28)*'SA Oct 2017'!AF19/100</f>
        <v>564.48</v>
      </c>
      <c r="H33" s="240">
        <v>0</v>
      </c>
      <c r="I33" s="185">
        <f t="shared" si="7"/>
        <v>2182.152</v>
      </c>
      <c r="J33" s="186">
        <f t="shared" si="8"/>
        <v>8728.6080000000002</v>
      </c>
      <c r="K33" s="187">
        <v>0</v>
      </c>
      <c r="L33" s="187">
        <f>'SA Oct 2017'!BA19</f>
        <v>0</v>
      </c>
      <c r="M33" s="187">
        <f>'SA Oct 2017'!BB19</f>
        <v>7</v>
      </c>
      <c r="N33" s="187">
        <f>'SA Oct 2017'!BC19</f>
        <v>0</v>
      </c>
      <c r="O33" s="186">
        <f>J33</f>
        <v>8728.6080000000002</v>
      </c>
      <c r="P33" s="186">
        <f>O33-(O33*M33/100)</f>
        <v>8117.6054400000003</v>
      </c>
      <c r="Q33" s="186">
        <f t="shared" si="9"/>
        <v>9601.4688000000006</v>
      </c>
      <c r="R33" s="186">
        <f t="shared" si="9"/>
        <v>8929.3659840000018</v>
      </c>
      <c r="S33" s="188">
        <f>'SA Oct 2017'!BJ27</f>
        <v>0</v>
      </c>
      <c r="T33" s="189" t="str">
        <f>'SA Oct 2017'!BK27</f>
        <v>n</v>
      </c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</row>
    <row r="34" spans="1:69" s="226" customFormat="1" ht="14" x14ac:dyDescent="0.15">
      <c r="A34" s="234" t="str">
        <f>'SA Oct 2017'!K20</f>
        <v>Commander</v>
      </c>
      <c r="B34" s="180" t="str">
        <f>'SA Oct 2017'!L20</f>
        <v>Market offer</v>
      </c>
      <c r="C34" s="181">
        <f>91*'SA Oct 2017'!M20/100</f>
        <v>81.444999999999993</v>
      </c>
      <c r="D34" s="181">
        <f>($C$26*$C$27)*'SA Oct 2017'!N20/100</f>
        <v>1538.25</v>
      </c>
      <c r="E34" s="181">
        <v>0</v>
      </c>
      <c r="F34" s="181">
        <f>IF($C$26*$C$27&lt;'SA Oct 2017'!P20,(0),((('SA Bills October 2017'!$C$26*'SA Bills October 2017'!$C$27)-('SA Oct 2017'!P20))*'SA Oct 2017'!Q20/100))</f>
        <v>0</v>
      </c>
      <c r="G34" s="181">
        <f>($C$26*$C$28)*'SA Oct 2017'!AF20/100</f>
        <v>355.5</v>
      </c>
      <c r="H34" s="240">
        <v>0</v>
      </c>
      <c r="I34" s="185">
        <f t="shared" si="7"/>
        <v>1975.1949999999999</v>
      </c>
      <c r="J34" s="186">
        <f t="shared" si="8"/>
        <v>7900.78</v>
      </c>
      <c r="K34" s="187">
        <v>0</v>
      </c>
      <c r="L34" s="187">
        <f>'SA Oct 2017'!BA20</f>
        <v>0</v>
      </c>
      <c r="M34" s="187">
        <f>'SA Oct 2017'!BB20</f>
        <v>0</v>
      </c>
      <c r="N34" s="187">
        <f>'SA Oct 2017'!BC20</f>
        <v>20</v>
      </c>
      <c r="O34" s="186">
        <f>J34</f>
        <v>7900.78</v>
      </c>
      <c r="P34" s="186">
        <f>O34-((I34-C34)*N34/100)*4</f>
        <v>6385.78</v>
      </c>
      <c r="Q34" s="186">
        <f t="shared" si="9"/>
        <v>8690.8580000000002</v>
      </c>
      <c r="R34" s="186">
        <f t="shared" si="9"/>
        <v>7024.3580000000002</v>
      </c>
      <c r="S34" s="188">
        <f>'SA Oct 2017'!BJ28</f>
        <v>24</v>
      </c>
      <c r="T34" s="189" t="str">
        <f>'SA Oct 2017'!BK28</f>
        <v>y</v>
      </c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</row>
    <row r="35" spans="1:69" s="225" customFormat="1" ht="14" x14ac:dyDescent="0.15">
      <c r="A35" s="234" t="str">
        <f>'SA Oct 2017'!K21</f>
        <v>Diamond Energy</v>
      </c>
      <c r="B35" s="180" t="str">
        <f>'SA Oct 2017'!L21</f>
        <v>Pay on time discount</v>
      </c>
      <c r="C35" s="181">
        <f>91*'SA Oct 2017'!M21/100</f>
        <v>90.545000000000002</v>
      </c>
      <c r="D35" s="181">
        <f>IF($C$26*$C$27&gt;='SA Oct 2017'!P21,('SA Oct 2017'!P21*'SA Oct 2017'!N21/100),($C$26*$C$27*'SA Oct 2017'!N21/100))</f>
        <v>389</v>
      </c>
      <c r="E35" s="181">
        <f>IF($C$26*$C$27&lt;'SA Oct 2017'!P21,0,IF(($C$26*$C$27-'SA Oct 2017'!P21)&lt;='SA Oct 2017'!R21,(( $C$26*$C$27-'SA Oct 2017'!P21)*'SA Oct 2017'!Q21/100),((('SA Oct 2017'!R21+'SA Oct 2017'!P21)-('SA Oct 2017'!P21))*'SA Oct 2017'!Q21/100)))</f>
        <v>599.25000000000011</v>
      </c>
      <c r="F35" s="181">
        <f>IF($C$26*$C$27&lt;'SA Oct 2017'!R21+'SA Oct 2017'!P21,(0),((($C$26*$C$27)-('SA Oct 2017'!R21+'SA Oct 2017'!P21))*'SA Oct 2017'!S21/100))</f>
        <v>409.8</v>
      </c>
      <c r="G35" s="181">
        <f>($C$26*$C$28)*'SA Oct 2017'!AF21/100</f>
        <v>299.25</v>
      </c>
      <c r="H35" s="240">
        <v>0</v>
      </c>
      <c r="I35" s="185">
        <f t="shared" si="7"/>
        <v>1787.845</v>
      </c>
      <c r="J35" s="186">
        <f t="shared" si="8"/>
        <v>7151.38</v>
      </c>
      <c r="K35" s="187">
        <v>0</v>
      </c>
      <c r="L35" s="187">
        <f>'SA Oct 2017'!BA21</f>
        <v>0</v>
      </c>
      <c r="M35" s="187">
        <f>'SA Oct 2017'!BB21</f>
        <v>7</v>
      </c>
      <c r="N35" s="187">
        <f>'SA Oct 2017'!BC21</f>
        <v>0</v>
      </c>
      <c r="O35" s="186">
        <f>J35</f>
        <v>7151.38</v>
      </c>
      <c r="P35" s="186">
        <f>O35-(O35*M35/100)</f>
        <v>6650.7834000000003</v>
      </c>
      <c r="Q35" s="186">
        <f t="shared" si="9"/>
        <v>7866.5180000000009</v>
      </c>
      <c r="R35" s="186">
        <f t="shared" si="9"/>
        <v>7315.8617400000012</v>
      </c>
      <c r="S35" s="188">
        <f>'SA Oct 2017'!BJ31</f>
        <v>0</v>
      </c>
      <c r="T35" s="189" t="str">
        <f>'SA Oct 2017'!BK31</f>
        <v>n</v>
      </c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6"/>
      <c r="BN35" s="226"/>
      <c r="BO35" s="226"/>
      <c r="BP35" s="226"/>
      <c r="BQ35" s="226"/>
    </row>
    <row r="36" spans="1:69" s="226" customFormat="1" ht="14" x14ac:dyDescent="0.15">
      <c r="A36" s="234" t="str">
        <f>'SA Oct 2017'!K22</f>
        <v>EnergyAustralia</v>
      </c>
      <c r="B36" s="180" t="str">
        <f>'SA Oct 2017'!L22</f>
        <v>Everyday Saver Business</v>
      </c>
      <c r="C36" s="181">
        <f>91*'SA Oct 2017'!M22/100</f>
        <v>81.536000000000001</v>
      </c>
      <c r="D36" s="181">
        <f>($C$26*$C$27)*'SA Oct 2017'!N22/100</f>
        <v>1617</v>
      </c>
      <c r="E36" s="181">
        <v>0</v>
      </c>
      <c r="F36" s="181">
        <f>IF($C$26*$C$27&lt;'SA Oct 2017'!P22,(0),((('SA Bills October 2017'!$C$26*'SA Bills October 2017'!$C$27)-('SA Oct 2017'!P22))*'SA Oct 2017'!Q22/100))</f>
        <v>0</v>
      </c>
      <c r="G36" s="181">
        <f>($C$26*$C$28)*'SA Oct 2017'!AF22/100</f>
        <v>253.65</v>
      </c>
      <c r="H36" s="240">
        <v>0</v>
      </c>
      <c r="I36" s="185">
        <f t="shared" si="7"/>
        <v>1952.1860000000001</v>
      </c>
      <c r="J36" s="186">
        <f t="shared" si="8"/>
        <v>7808.7440000000006</v>
      </c>
      <c r="K36" s="187">
        <v>0</v>
      </c>
      <c r="L36" s="187">
        <f>'SA Oct 2017'!BA22</f>
        <v>16</v>
      </c>
      <c r="M36" s="187">
        <f>'SA Oct 2017'!BB22</f>
        <v>0</v>
      </c>
      <c r="N36" s="187">
        <f>'SA Oct 2017'!BC22</f>
        <v>0</v>
      </c>
      <c r="O36" s="186">
        <f>J36-((I36-C36)*L36/100)*4</f>
        <v>6611.5280000000002</v>
      </c>
      <c r="P36" s="186">
        <f>O36</f>
        <v>6611.5280000000002</v>
      </c>
      <c r="Q36" s="186">
        <f t="shared" si="9"/>
        <v>7272.680800000001</v>
      </c>
      <c r="R36" s="186">
        <f t="shared" si="9"/>
        <v>7272.680800000001</v>
      </c>
      <c r="S36" s="188">
        <f>'SA Oct 2017'!BJ32</f>
        <v>0</v>
      </c>
      <c r="T36" s="189" t="str">
        <f>'SA Oct 2017'!BK32</f>
        <v>n</v>
      </c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</row>
    <row r="37" spans="1:69" s="225" customFormat="1" ht="14" x14ac:dyDescent="0.15">
      <c r="A37" s="234" t="str">
        <f>'SA Oct 2017'!K23</f>
        <v>ERM Power</v>
      </c>
      <c r="B37" s="180" t="str">
        <f>'SA Oct 2017'!L23</f>
        <v>Adjustable</v>
      </c>
      <c r="C37" s="181">
        <f>91*'SA Oct 2017'!M23/100</f>
        <v>100.1</v>
      </c>
      <c r="D37" s="181">
        <f>($C$26*$C$27)*'SA Oct 2017'!N23/100</f>
        <v>1523.2</v>
      </c>
      <c r="E37" s="181">
        <v>0</v>
      </c>
      <c r="F37" s="181">
        <v>0</v>
      </c>
      <c r="G37" s="181">
        <f>($C$26*$C$28)*'SA Oct 2017'!AF23/100</f>
        <v>391.95</v>
      </c>
      <c r="H37" s="240">
        <v>0</v>
      </c>
      <c r="I37" s="185">
        <f t="shared" si="7"/>
        <v>2015.25</v>
      </c>
      <c r="J37" s="186">
        <f t="shared" si="8"/>
        <v>8061</v>
      </c>
      <c r="K37" s="187">
        <v>0</v>
      </c>
      <c r="L37" s="187">
        <f>'SA Oct 2017'!BA23</f>
        <v>0</v>
      </c>
      <c r="M37" s="187">
        <f>'SA Oct 2017'!BB23</f>
        <v>0</v>
      </c>
      <c r="N37" s="187">
        <f>'SA Oct 2017'!BC23</f>
        <v>0</v>
      </c>
      <c r="O37" s="186">
        <f>J37</f>
        <v>8061</v>
      </c>
      <c r="P37" s="186">
        <f>O37</f>
        <v>8061</v>
      </c>
      <c r="Q37" s="186">
        <f t="shared" si="9"/>
        <v>8867.1</v>
      </c>
      <c r="R37" s="186">
        <f t="shared" si="9"/>
        <v>8867.1</v>
      </c>
      <c r="S37" s="188">
        <f>'SA Oct 2017'!BJ33</f>
        <v>0</v>
      </c>
      <c r="T37" s="189" t="str">
        <f>'SA Oct 2017'!BK33</f>
        <v>n</v>
      </c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233"/>
      <c r="AV37" s="233"/>
      <c r="AW37" s="233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6"/>
      <c r="BN37" s="226"/>
      <c r="BO37" s="226"/>
      <c r="BP37" s="226"/>
      <c r="BQ37" s="226"/>
    </row>
    <row r="38" spans="1:69" s="226" customFormat="1" ht="14" x14ac:dyDescent="0.15">
      <c r="A38" s="234" t="str">
        <f>'SA Oct 2017'!K24</f>
        <v>Momentum Energy</v>
      </c>
      <c r="B38" s="180" t="str">
        <f>'SA Oct 2017'!L24</f>
        <v>SmilePower</v>
      </c>
      <c r="C38" s="181">
        <f>91*'SA Oct 2017'!M24/100</f>
        <v>82.400499999999994</v>
      </c>
      <c r="D38" s="181">
        <f>IF(($C$26*$C$27)&gt;='SA Oct 2017'!P24,('SA Oct 2017'!P24*'SA Oct 2017'!N24/100),(('SA Bills October 2017'!$C$26*'SA Bills October 2017'!$C$27)*'SA Oct 2017'!N24/100))</f>
        <v>513.48</v>
      </c>
      <c r="E38" s="181">
        <v>0</v>
      </c>
      <c r="F38" s="181">
        <f>IF($C$26*$C$27&lt;'SA Oct 2017'!P24,(0),((('SA Bills October 2017'!$C$26*'SA Bills October 2017'!$C$27)-('SA Oct 2017'!P24))*'SA Oct 2017'!Q24/100))</f>
        <v>964.39</v>
      </c>
      <c r="G38" s="181">
        <f>($C$26*$C$28)*'SA Oct 2017'!AF24/100</f>
        <v>328.35</v>
      </c>
      <c r="H38" s="240">
        <v>0</v>
      </c>
      <c r="I38" s="185">
        <f t="shared" si="7"/>
        <v>1888.6205</v>
      </c>
      <c r="J38" s="186">
        <f t="shared" si="8"/>
        <v>7554.482</v>
      </c>
      <c r="K38" s="187">
        <v>0</v>
      </c>
      <c r="L38" s="187">
        <f>'SA Oct 2017'!BA24</f>
        <v>0</v>
      </c>
      <c r="M38" s="187">
        <f>'SA Oct 2017'!BB24</f>
        <v>0</v>
      </c>
      <c r="N38" s="187">
        <f>'SA Oct 2017'!BC24</f>
        <v>0</v>
      </c>
      <c r="O38" s="186">
        <f t="shared" ref="O38" si="10">J38</f>
        <v>7554.482</v>
      </c>
      <c r="P38" s="186">
        <f t="shared" ref="P38" si="11">O38</f>
        <v>7554.482</v>
      </c>
      <c r="Q38" s="186">
        <f t="shared" si="9"/>
        <v>8309.9302000000007</v>
      </c>
      <c r="R38" s="186">
        <f t="shared" si="9"/>
        <v>8309.9302000000007</v>
      </c>
      <c r="S38" s="188">
        <v>36</v>
      </c>
      <c r="T38" s="189" t="s">
        <v>174</v>
      </c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</row>
    <row r="39" spans="1:69" s="225" customFormat="1" ht="14" x14ac:dyDescent="0.15">
      <c r="A39" s="234" t="str">
        <f>'SA Oct 2017'!K25</f>
        <v>Origin Energy</v>
      </c>
      <c r="B39" s="180" t="str">
        <f>'SA Oct 2017'!L25</f>
        <v>Business Saver</v>
      </c>
      <c r="C39" s="181">
        <f>91*'SA Oct 2017'!M25/100</f>
        <v>82.764500000000012</v>
      </c>
      <c r="D39" s="181">
        <f>($C$26*$C$27)*'SA Oct 2017'!N25/100</f>
        <v>1411.55</v>
      </c>
      <c r="E39" s="181">
        <v>0</v>
      </c>
      <c r="F39" s="181">
        <f>IF($C$26*$C$27&lt;'SA Oct 2017'!P25,(0),((('SA Bills October 2017'!$C$26*'SA Bills October 2017'!$C$27)-('SA Oct 2017'!P25))*'SA Oct 2017'!Q25/100))</f>
        <v>0</v>
      </c>
      <c r="G39" s="181">
        <f>($C$26*$C$28)*'SA Oct 2017'!AF25/100</f>
        <v>288.75</v>
      </c>
      <c r="H39" s="240">
        <v>0</v>
      </c>
      <c r="I39" s="185">
        <f t="shared" si="7"/>
        <v>1783.0645</v>
      </c>
      <c r="J39" s="186">
        <f t="shared" si="8"/>
        <v>7132.2579999999998</v>
      </c>
      <c r="K39" s="187">
        <v>0</v>
      </c>
      <c r="L39" s="187">
        <f>'SA Oct 2017'!BA25</f>
        <v>16</v>
      </c>
      <c r="M39" s="187">
        <f>'SA Oct 2017'!BB25</f>
        <v>0</v>
      </c>
      <c r="N39" s="187">
        <f>'SA Oct 2017'!BC25</f>
        <v>0</v>
      </c>
      <c r="O39" s="186">
        <f>J39-((I39-C39)*L39/100)*4</f>
        <v>6044.0659999999998</v>
      </c>
      <c r="P39" s="186">
        <f>O39</f>
        <v>6044.0659999999998</v>
      </c>
      <c r="Q39" s="186">
        <f t="shared" si="9"/>
        <v>6648.4726000000001</v>
      </c>
      <c r="R39" s="186">
        <f t="shared" si="9"/>
        <v>6648.4726000000001</v>
      </c>
      <c r="S39" s="188">
        <v>12</v>
      </c>
      <c r="T39" s="189" t="s">
        <v>175</v>
      </c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</row>
    <row r="40" spans="1:69" s="226" customFormat="1" ht="14" x14ac:dyDescent="0.15">
      <c r="A40" s="234" t="str">
        <f>'SA Oct 2017'!K26</f>
        <v>Powerdirect</v>
      </c>
      <c r="B40" s="180" t="str">
        <f>'SA Oct 2017'!L26</f>
        <v>Quarterly read</v>
      </c>
      <c r="C40" s="181">
        <f>91*'SA Oct 2017'!M26/100</f>
        <v>82.81</v>
      </c>
      <c r="D40" s="181">
        <f>($C$26*$C$27)*'SA Oct 2017'!N26/100</f>
        <v>1264.1999999999998</v>
      </c>
      <c r="E40" s="181">
        <v>0</v>
      </c>
      <c r="F40" s="181">
        <f>IF($C$26*$C$27&lt;'SA Oct 2017'!P26,(0),((('SA Bills October 2017'!$C$26*'SA Bills October 2017'!$C$27)-('SA Oct 2017'!P26))*'SA Oct 2017'!Q26/100))</f>
        <v>0</v>
      </c>
      <c r="G40" s="181">
        <f>($C$26*$C$28)*'SA Oct 2017'!AF26/100</f>
        <v>420</v>
      </c>
      <c r="H40" s="240">
        <v>0</v>
      </c>
      <c r="I40" s="185">
        <f t="shared" si="7"/>
        <v>1767.0099999999998</v>
      </c>
      <c r="J40" s="186">
        <f t="shared" si="8"/>
        <v>7068.0399999999991</v>
      </c>
      <c r="K40" s="187">
        <v>0</v>
      </c>
      <c r="L40" s="187">
        <f>'SA Oct 2017'!BA26</f>
        <v>0</v>
      </c>
      <c r="M40" s="187">
        <f>'SA Oct 2017'!BB26</f>
        <v>0</v>
      </c>
      <c r="N40" s="187">
        <f>'SA Oct 2017'!BC26</f>
        <v>0</v>
      </c>
      <c r="O40" s="186">
        <f t="shared" ref="O40" si="12">J40</f>
        <v>7068.0399999999991</v>
      </c>
      <c r="P40" s="186">
        <f t="shared" ref="P40" si="13">O40</f>
        <v>7068.0399999999991</v>
      </c>
      <c r="Q40" s="186">
        <f t="shared" si="9"/>
        <v>7774.8439999999991</v>
      </c>
      <c r="R40" s="186">
        <f t="shared" si="9"/>
        <v>7774.8439999999991</v>
      </c>
      <c r="S40" s="188">
        <v>0</v>
      </c>
      <c r="T40" s="189" t="s">
        <v>174</v>
      </c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</row>
    <row r="41" spans="1:69" s="225" customFormat="1" ht="14" x14ac:dyDescent="0.15">
      <c r="A41" s="234" t="str">
        <f>'SA Oct 2017'!K27</f>
        <v>Red Energy</v>
      </c>
      <c r="B41" s="180" t="str">
        <f>'SA Oct 2017'!L27</f>
        <v>No exit fee saver</v>
      </c>
      <c r="C41" s="181">
        <f>91*'SA Oct 2017'!M27/100</f>
        <v>93.275000000000006</v>
      </c>
      <c r="D41" s="181">
        <f>IF(($C$26*$C$27)&gt;='SA Oct 2017'!P27,('SA Oct 2017'!P27*'SA Oct 2017'!N27/100),(('SA Bills October 2017'!$C$26*'SA Bills October 2017'!$C$27)*'SA Oct 2017'!N27/100))</f>
        <v>1020</v>
      </c>
      <c r="E41" s="181">
        <v>0</v>
      </c>
      <c r="F41" s="181">
        <f>IF($C$26*$C$27&lt;'SA Oct 2017'!P27,(0),((('SA Bills October 2017'!$C$26*'SA Bills October 2017'!$C$27)-('SA Oct 2017'!P27))*'SA Oct 2017'!Q27/100))</f>
        <v>428.3</v>
      </c>
      <c r="G41" s="181">
        <f>($C$26*$C$28)*'SA Oct 2017'!AF27/100</f>
        <v>300</v>
      </c>
      <c r="H41" s="240">
        <v>0</v>
      </c>
      <c r="I41" s="185">
        <f t="shared" si="7"/>
        <v>1841.575</v>
      </c>
      <c r="J41" s="186">
        <f t="shared" si="8"/>
        <v>7366.3</v>
      </c>
      <c r="K41" s="187">
        <v>0</v>
      </c>
      <c r="L41" s="187">
        <f>'SA Oct 2017'!BA27</f>
        <v>0</v>
      </c>
      <c r="M41" s="187">
        <f>'SA Oct 2017'!BB27</f>
        <v>10</v>
      </c>
      <c r="N41" s="187">
        <f>'SA Oct 2017'!BC27</f>
        <v>0</v>
      </c>
      <c r="O41" s="186">
        <f>J41</f>
        <v>7366.3</v>
      </c>
      <c r="P41" s="186">
        <f>O41-(O41*M41/100)</f>
        <v>6629.67</v>
      </c>
      <c r="Q41" s="186">
        <f t="shared" si="9"/>
        <v>8102.9300000000012</v>
      </c>
      <c r="R41" s="186">
        <f t="shared" si="9"/>
        <v>7292.6370000000006</v>
      </c>
      <c r="S41" s="188">
        <v>0</v>
      </c>
      <c r="T41" s="189" t="s">
        <v>174</v>
      </c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6"/>
      <c r="AY41" s="226"/>
      <c r="AZ41" s="226"/>
      <c r="BA41" s="226"/>
      <c r="BB41" s="226"/>
      <c r="BC41" s="226"/>
      <c r="BD41" s="226"/>
      <c r="BE41" s="226"/>
      <c r="BF41" s="226"/>
      <c r="BG41" s="226"/>
      <c r="BH41" s="226"/>
      <c r="BI41" s="226"/>
      <c r="BJ41" s="226"/>
      <c r="BK41" s="226"/>
      <c r="BL41" s="226"/>
      <c r="BM41" s="226"/>
      <c r="BN41" s="226"/>
      <c r="BO41" s="226"/>
      <c r="BP41" s="226"/>
      <c r="BQ41" s="226"/>
    </row>
    <row r="42" spans="1:69" s="226" customFormat="1" ht="14" x14ac:dyDescent="0.15">
      <c r="A42" s="234" t="str">
        <f>'SA Oct 2017'!K28</f>
        <v>Simply Energy</v>
      </c>
      <c r="B42" s="180" t="str">
        <f>'SA Oct 2017'!L28</f>
        <v>Business Plus Online</v>
      </c>
      <c r="C42" s="181">
        <f>91*'SA Oct 2017'!M28/100</f>
        <v>90.626900000000006</v>
      </c>
      <c r="D42" s="181">
        <f>($C$26*$C$27)*'SA Oct 2017'!N28/100</f>
        <v>1430.45</v>
      </c>
      <c r="E42" s="181">
        <v>0</v>
      </c>
      <c r="F42" s="181">
        <f>IF($C$26*$C$27&lt;'SA Oct 2017'!P28,(0),((('SA Bills October 2017'!$C$26*'SA Bills October 2017'!$C$27)-('SA Oct 2017'!P28))*'SA Oct 2017'!Q28/100))</f>
        <v>0</v>
      </c>
      <c r="G42" s="181">
        <f>($C$26*$C$28)*'SA Oct 2017'!AF28/100</f>
        <v>415.35</v>
      </c>
      <c r="H42" s="240">
        <v>0</v>
      </c>
      <c r="I42" s="185">
        <f t="shared" si="7"/>
        <v>1936.4268999999999</v>
      </c>
      <c r="J42" s="186">
        <f t="shared" si="8"/>
        <v>7745.7075999999997</v>
      </c>
      <c r="K42" s="187">
        <v>0</v>
      </c>
      <c r="L42" s="187">
        <f>'SA Oct 2017'!BA28</f>
        <v>15</v>
      </c>
      <c r="M42" s="187">
        <f>'SA Oct 2017'!BB28</f>
        <v>0</v>
      </c>
      <c r="N42" s="187">
        <f>'SA Oct 2017'!BC28</f>
        <v>0</v>
      </c>
      <c r="O42" s="186">
        <f>J42-((I42-C42)*L42/100)*4</f>
        <v>6638.2276000000002</v>
      </c>
      <c r="P42" s="186">
        <f>O42</f>
        <v>6638.2276000000002</v>
      </c>
      <c r="Q42" s="186">
        <f t="shared" si="9"/>
        <v>7302.0503600000011</v>
      </c>
      <c r="R42" s="186">
        <f t="shared" si="9"/>
        <v>7302.0503600000011</v>
      </c>
      <c r="S42" s="188">
        <v>24</v>
      </c>
      <c r="T42" s="189" t="s">
        <v>175</v>
      </c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</row>
    <row r="43" spans="1:69" s="225" customFormat="1" ht="14" x14ac:dyDescent="0.15">
      <c r="A43" s="234" t="str">
        <f>'SA Oct 2017'!K29</f>
        <v>Blue NRG</v>
      </c>
      <c r="B43" s="180" t="str">
        <f>'SA Oct 2017'!L29</f>
        <v>Market offer</v>
      </c>
      <c r="C43" s="181">
        <f>91*'SA Oct 2017'!M29/100</f>
        <v>91</v>
      </c>
      <c r="D43" s="181">
        <f>($C$26*$C$27)*'SA Oct 2017'!N29/100</f>
        <v>1470</v>
      </c>
      <c r="E43" s="181">
        <v>0</v>
      </c>
      <c r="F43" s="181">
        <f>IF($C$26*$C$27&lt;'SA Oct 2017'!P29,(0),((('SA Bills October 2017'!$C$26*'SA Bills October 2017'!$C$27)-('SA Oct 2017'!P29))*'SA Oct 2017'!Q29/100))</f>
        <v>0</v>
      </c>
      <c r="G43" s="181">
        <f>($C$26*$C$28)*'SA Oct 2017'!AF29/100</f>
        <v>405</v>
      </c>
      <c r="H43" s="240">
        <v>0</v>
      </c>
      <c r="I43" s="185">
        <f t="shared" si="7"/>
        <v>1966</v>
      </c>
      <c r="J43" s="186">
        <f t="shared" si="8"/>
        <v>7864</v>
      </c>
      <c r="K43" s="187">
        <v>0</v>
      </c>
      <c r="L43" s="187">
        <f>'SA Oct 2017'!BA29</f>
        <v>0</v>
      </c>
      <c r="M43" s="187">
        <f>'SA Oct 2017'!BB29</f>
        <v>0</v>
      </c>
      <c r="N43" s="187">
        <f>'SA Oct 2017'!BC29</f>
        <v>0</v>
      </c>
      <c r="O43" s="186">
        <f>J43</f>
        <v>7864</v>
      </c>
      <c r="P43" s="186">
        <f t="shared" ref="P43:P44" si="14">O43</f>
        <v>7864</v>
      </c>
      <c r="Q43" s="186">
        <f t="shared" si="9"/>
        <v>8650.4000000000015</v>
      </c>
      <c r="R43" s="186">
        <f t="shared" si="9"/>
        <v>8650.4000000000015</v>
      </c>
      <c r="S43" s="188">
        <v>25</v>
      </c>
      <c r="T43" s="189" t="s">
        <v>175</v>
      </c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26"/>
      <c r="AY43" s="226"/>
      <c r="AZ43" s="226"/>
      <c r="BA43" s="226"/>
      <c r="BB43" s="226"/>
      <c r="BC43" s="226"/>
      <c r="BD43" s="226"/>
      <c r="BE43" s="226"/>
      <c r="BF43" s="226"/>
      <c r="BG43" s="226"/>
      <c r="BH43" s="226"/>
      <c r="BI43" s="226"/>
      <c r="BJ43" s="226"/>
      <c r="BK43" s="226"/>
      <c r="BL43" s="226"/>
      <c r="BM43" s="226"/>
      <c r="BN43" s="226"/>
      <c r="BO43" s="226"/>
      <c r="BP43" s="226"/>
      <c r="BQ43" s="226"/>
    </row>
    <row r="44" spans="1:69" s="226" customFormat="1" ht="15" thickBot="1" x14ac:dyDescent="0.2">
      <c r="A44" s="235" t="str">
        <f>'SA Oct 2017'!K30</f>
        <v>Q Energy</v>
      </c>
      <c r="B44" s="207" t="str">
        <f>'SA Oct 2017'!L30</f>
        <v>Flexi Biz</v>
      </c>
      <c r="C44" s="193">
        <f>91*'SA Oct 2017'!M30/100</f>
        <v>81.900000000000006</v>
      </c>
      <c r="D44" s="193">
        <f>($C$26*$C$27)*'SA Oct 2017'!N30/100</f>
        <v>1120</v>
      </c>
      <c r="E44" s="193">
        <v>0</v>
      </c>
      <c r="F44" s="193">
        <f>IF($C$26*$C$27&lt;'SA Oct 2017'!P30,(0),((('SA Bills October 2017'!$C$26*'SA Bills October 2017'!$C$27)-('SA Oct 2017'!P30))*'SA Oct 2017'!Q30/100))</f>
        <v>0</v>
      </c>
      <c r="G44" s="193">
        <f>($C$26*$C$28)*'SA Oct 2017'!AF30/100</f>
        <v>206.25</v>
      </c>
      <c r="H44" s="241">
        <v>0</v>
      </c>
      <c r="I44" s="195">
        <f t="shared" si="7"/>
        <v>1408.15</v>
      </c>
      <c r="J44" s="196">
        <f t="shared" si="8"/>
        <v>5632.6</v>
      </c>
      <c r="K44" s="197">
        <v>0</v>
      </c>
      <c r="L44" s="197">
        <f>'SA Oct 2017'!BA30</f>
        <v>0</v>
      </c>
      <c r="M44" s="197">
        <f>'SA Oct 2017'!BB30</f>
        <v>0</v>
      </c>
      <c r="N44" s="197">
        <f>'SA Oct 2017'!BC30</f>
        <v>0</v>
      </c>
      <c r="O44" s="196">
        <f>J44</f>
        <v>5632.6</v>
      </c>
      <c r="P44" s="196">
        <f t="shared" si="14"/>
        <v>5632.6</v>
      </c>
      <c r="Q44" s="196">
        <f t="shared" si="9"/>
        <v>6195.8600000000006</v>
      </c>
      <c r="R44" s="196">
        <f t="shared" si="9"/>
        <v>6195.8600000000006</v>
      </c>
      <c r="S44" s="198">
        <v>26</v>
      </c>
      <c r="T44" s="199" t="s">
        <v>175</v>
      </c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</row>
    <row r="45" spans="1:69" s="226" customFormat="1" ht="14" x14ac:dyDescent="0.15">
      <c r="A45" s="228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</row>
    <row r="46" spans="1:69" s="226" customFormat="1" ht="15" thickBot="1" x14ac:dyDescent="0.2">
      <c r="A46" s="228"/>
      <c r="B46" s="228"/>
      <c r="C46" s="228"/>
      <c r="D46" s="228"/>
      <c r="E46" s="228"/>
      <c r="F46" s="242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42"/>
      <c r="R46" s="242"/>
      <c r="S46" s="242"/>
      <c r="T46" s="242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233"/>
      <c r="AV46" s="233"/>
      <c r="AW46" s="233"/>
    </row>
    <row r="47" spans="1:69" ht="14" x14ac:dyDescent="0.15">
      <c r="A47" s="165" t="s">
        <v>176</v>
      </c>
      <c r="B47" s="166"/>
      <c r="C47" s="166"/>
      <c r="D47" s="166"/>
      <c r="E47" s="166"/>
      <c r="F47" s="210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</row>
    <row r="48" spans="1:69" ht="14" x14ac:dyDescent="0.15">
      <c r="A48" s="169" t="s">
        <v>197</v>
      </c>
      <c r="B48" s="134"/>
      <c r="C48" s="170">
        <v>5000</v>
      </c>
      <c r="D48" s="134"/>
      <c r="E48" s="134"/>
      <c r="F48" s="211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72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</row>
    <row r="49" spans="1:122" ht="14" x14ac:dyDescent="0.15">
      <c r="A49" s="169" t="s">
        <v>85</v>
      </c>
      <c r="B49" s="134"/>
      <c r="C49" s="206">
        <v>0.7</v>
      </c>
      <c r="D49" s="134"/>
      <c r="E49" s="134"/>
      <c r="F49" s="211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72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/>
      <c r="AV49" s="233"/>
      <c r="AW49" s="233"/>
    </row>
    <row r="50" spans="1:122" ht="14" x14ac:dyDescent="0.15">
      <c r="A50" s="169" t="s">
        <v>172</v>
      </c>
      <c r="B50" s="134"/>
      <c r="C50" s="206">
        <v>0.3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</row>
    <row r="51" spans="1:122" ht="14" x14ac:dyDescent="0.15">
      <c r="A51" s="169"/>
      <c r="B51" s="134"/>
      <c r="C51" s="134"/>
      <c r="D51" s="134"/>
      <c r="E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</row>
    <row r="52" spans="1:122" ht="75" x14ac:dyDescent="0.15">
      <c r="A52" s="230" t="s">
        <v>216</v>
      </c>
      <c r="B52" s="231" t="s">
        <v>198</v>
      </c>
      <c r="C52" s="173" t="s">
        <v>199</v>
      </c>
      <c r="D52" s="173" t="s">
        <v>200</v>
      </c>
      <c r="E52" s="173" t="s">
        <v>201</v>
      </c>
      <c r="F52" s="173" t="s">
        <v>202</v>
      </c>
      <c r="G52" s="173" t="s">
        <v>164</v>
      </c>
      <c r="H52" s="173" t="s">
        <v>173</v>
      </c>
      <c r="I52" s="173" t="s">
        <v>165</v>
      </c>
      <c r="J52" s="174" t="s">
        <v>166</v>
      </c>
      <c r="K52" s="175" t="s">
        <v>167</v>
      </c>
      <c r="L52" s="175" t="s">
        <v>168</v>
      </c>
      <c r="M52" s="175" t="s">
        <v>169</v>
      </c>
      <c r="N52" s="175" t="s">
        <v>170</v>
      </c>
      <c r="O52" s="176" t="s">
        <v>579</v>
      </c>
      <c r="P52" s="176" t="s">
        <v>580</v>
      </c>
      <c r="Q52" s="176" t="s">
        <v>227</v>
      </c>
      <c r="R52" s="176" t="s">
        <v>272</v>
      </c>
      <c r="S52" s="175" t="s">
        <v>82</v>
      </c>
      <c r="T52" s="177" t="s">
        <v>83</v>
      </c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</row>
    <row r="53" spans="1:122" ht="14" x14ac:dyDescent="0.15">
      <c r="A53" s="234" t="str">
        <f>'SA Oct 2017'!K31</f>
        <v>AGL</v>
      </c>
      <c r="B53" s="180" t="str">
        <f>'SA Oct 2017'!L31</f>
        <v xml:space="preserve">Business Savers </v>
      </c>
      <c r="C53" s="181">
        <f>91*'SA Oct 2017'!M31/100</f>
        <v>82.81</v>
      </c>
      <c r="D53" s="243">
        <f>($C$48*$C$49)*'SA Oct 2017'!N31/100</f>
        <v>1505</v>
      </c>
      <c r="E53" s="181">
        <v>0</v>
      </c>
      <c r="F53" s="181">
        <v>0</v>
      </c>
      <c r="G53" s="181">
        <v>0</v>
      </c>
      <c r="H53" s="181">
        <f>($C$48*$C$50)*'SA Oct 2017'!W31/100</f>
        <v>420</v>
      </c>
      <c r="I53" s="185">
        <f>SUM(C53:H53)</f>
        <v>2007.81</v>
      </c>
      <c r="J53" s="186">
        <f>I53*4</f>
        <v>8031.24</v>
      </c>
      <c r="K53" s="187">
        <v>0</v>
      </c>
      <c r="L53" s="187">
        <f>'SA Oct 2017'!BA31</f>
        <v>16</v>
      </c>
      <c r="M53" s="187">
        <f>'SA Oct 2017'!BB31</f>
        <v>0</v>
      </c>
      <c r="N53" s="187">
        <f>'SA Oct 2017'!BC31</f>
        <v>0</v>
      </c>
      <c r="O53" s="186">
        <f>J53-((I53-C53)*L53/100)*4</f>
        <v>6799.24</v>
      </c>
      <c r="P53" s="186">
        <f>O53</f>
        <v>6799.24</v>
      </c>
      <c r="Q53" s="186">
        <f>O53*1.1</f>
        <v>7479.1640000000007</v>
      </c>
      <c r="R53" s="186">
        <f>P53*1.1</f>
        <v>7479.1640000000007</v>
      </c>
      <c r="S53" s="188">
        <f>'SA Oct 2017'!BJ31</f>
        <v>0</v>
      </c>
      <c r="T53" s="189" t="str">
        <f>'SA Oct 2017'!BK31</f>
        <v>n</v>
      </c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</row>
    <row r="54" spans="1:122" s="226" customFormat="1" ht="14" x14ac:dyDescent="0.15">
      <c r="A54" s="234" t="str">
        <f>'SA Oct 2017'!K32</f>
        <v>Alinta Energy</v>
      </c>
      <c r="B54" s="180" t="str">
        <f>'SA Oct 2017'!L32</f>
        <v>Business Saver</v>
      </c>
      <c r="C54" s="181">
        <f>91*'SA Oct 2017'!M32/100</f>
        <v>94.093999999999994</v>
      </c>
      <c r="D54" s="243">
        <f>($C$48*$C$49)*'SA Oct 2017'!N32/100</f>
        <v>1779.05</v>
      </c>
      <c r="E54" s="181">
        <v>0</v>
      </c>
      <c r="F54" s="181">
        <v>0</v>
      </c>
      <c r="G54" s="181">
        <v>0</v>
      </c>
      <c r="H54" s="181">
        <f>($C$48*$C$50)*'SA Oct 2017'!W32/100</f>
        <v>448.35</v>
      </c>
      <c r="I54" s="185">
        <f t="shared" ref="I54:I67" si="15">SUM(C54:H54)</f>
        <v>2321.4940000000001</v>
      </c>
      <c r="J54" s="186">
        <f t="shared" ref="J54:J67" si="16">I54*4</f>
        <v>9285.9760000000006</v>
      </c>
      <c r="K54" s="187">
        <v>0</v>
      </c>
      <c r="L54" s="187">
        <f>'SA Oct 2017'!BA32</f>
        <v>0</v>
      </c>
      <c r="M54" s="187">
        <f>'SA Oct 2017'!BB32</f>
        <v>0</v>
      </c>
      <c r="N54" s="187">
        <f>'SA Oct 2017'!BC32</f>
        <v>28</v>
      </c>
      <c r="O54" s="186">
        <f>J54</f>
        <v>9285.9760000000006</v>
      </c>
      <c r="P54" s="186">
        <f>O54-((I54-C54)*N54/100)*4</f>
        <v>6791.2880000000005</v>
      </c>
      <c r="Q54" s="186">
        <f t="shared" ref="Q54:R67" si="17">O54*1.1</f>
        <v>10214.573600000002</v>
      </c>
      <c r="R54" s="186">
        <f t="shared" si="17"/>
        <v>7470.4168000000009</v>
      </c>
      <c r="S54" s="188">
        <f>'SA Oct 2017'!BJ32</f>
        <v>0</v>
      </c>
      <c r="T54" s="189" t="str">
        <f>'SA Oct 2017'!BK32</f>
        <v>n</v>
      </c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</row>
    <row r="55" spans="1:122" ht="14" x14ac:dyDescent="0.15">
      <c r="A55" s="234" t="str">
        <f>'SA Oct 2017'!K33</f>
        <v>Click Energy</v>
      </c>
      <c r="B55" s="180" t="str">
        <f>'SA Oct 2017'!L33</f>
        <v>Click Business</v>
      </c>
      <c r="C55" s="181">
        <f>91*'SA Oct 2017'!M33/100</f>
        <v>72.072000000000003</v>
      </c>
      <c r="D55" s="243">
        <f>($C$48*$C$49)*'SA Oct 2017'!N33/100</f>
        <v>1609.44</v>
      </c>
      <c r="E55" s="181">
        <v>0</v>
      </c>
      <c r="F55" s="181">
        <v>0</v>
      </c>
      <c r="G55" s="181">
        <v>0</v>
      </c>
      <c r="H55" s="181">
        <f>($C$48*$C$50)*'SA Oct 2017'!W33/100</f>
        <v>571.67999999999995</v>
      </c>
      <c r="I55" s="185">
        <f t="shared" si="15"/>
        <v>2253.192</v>
      </c>
      <c r="J55" s="186">
        <f t="shared" si="16"/>
        <v>9012.768</v>
      </c>
      <c r="K55" s="187">
        <v>0</v>
      </c>
      <c r="L55" s="187">
        <f>'SA Oct 2017'!BA33</f>
        <v>0</v>
      </c>
      <c r="M55" s="187">
        <f>'SA Oct 2017'!BB33</f>
        <v>7</v>
      </c>
      <c r="N55" s="187">
        <f>'SA Oct 2017'!BC33</f>
        <v>0</v>
      </c>
      <c r="O55" s="186">
        <f>J55</f>
        <v>9012.768</v>
      </c>
      <c r="P55" s="186">
        <f>O55-(O55*M55/100)</f>
        <v>8381.8742399999992</v>
      </c>
      <c r="Q55" s="186">
        <f t="shared" si="17"/>
        <v>9914.0448000000015</v>
      </c>
      <c r="R55" s="186">
        <f t="shared" si="17"/>
        <v>9220.0616640000007</v>
      </c>
      <c r="S55" s="188">
        <f>'SA Oct 2017'!BJ33</f>
        <v>0</v>
      </c>
      <c r="T55" s="189" t="str">
        <f>'SA Oct 2017'!BK33</f>
        <v>n</v>
      </c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233"/>
      <c r="AV55" s="233"/>
      <c r="AW55" s="233"/>
    </row>
    <row r="56" spans="1:122" s="226" customFormat="1" ht="14" x14ac:dyDescent="0.15">
      <c r="A56" s="234" t="str">
        <f>'SA Oct 2017'!K34</f>
        <v>Commander</v>
      </c>
      <c r="B56" s="180" t="str">
        <f>'SA Oct 2017'!L34</f>
        <v>Market offer</v>
      </c>
      <c r="C56" s="181">
        <f>91*'SA Oct 2017'!M34/100</f>
        <v>81.444999999999993</v>
      </c>
      <c r="D56" s="243">
        <f>($C$48*$C$49)*'SA Oct 2017'!N34/100</f>
        <v>1704.5</v>
      </c>
      <c r="E56" s="181">
        <v>0</v>
      </c>
      <c r="F56" s="181">
        <v>0</v>
      </c>
      <c r="G56" s="181">
        <v>0</v>
      </c>
      <c r="H56" s="181">
        <f>($C$48*$C$50)*'SA Oct 2017'!W34/100</f>
        <v>464.25</v>
      </c>
      <c r="I56" s="185">
        <f t="shared" si="15"/>
        <v>2250.1949999999997</v>
      </c>
      <c r="J56" s="186">
        <f t="shared" si="16"/>
        <v>9000.7799999999988</v>
      </c>
      <c r="K56" s="187">
        <v>0</v>
      </c>
      <c r="L56" s="187">
        <f>'SA Oct 2017'!BA34</f>
        <v>0</v>
      </c>
      <c r="M56" s="187">
        <f>'SA Oct 2017'!BB34</f>
        <v>0</v>
      </c>
      <c r="N56" s="187">
        <f>'SA Oct 2017'!BC34</f>
        <v>20</v>
      </c>
      <c r="O56" s="186">
        <f>J56</f>
        <v>9000.7799999999988</v>
      </c>
      <c r="P56" s="186">
        <f>O56-((I56-C56)*N56/100)*4</f>
        <v>7265.7799999999988</v>
      </c>
      <c r="Q56" s="186">
        <f t="shared" si="17"/>
        <v>9900.8580000000002</v>
      </c>
      <c r="R56" s="186">
        <f t="shared" si="17"/>
        <v>7992.3579999999993</v>
      </c>
      <c r="S56" s="188">
        <f>'SA Oct 2017'!BJ34</f>
        <v>0</v>
      </c>
      <c r="T56" s="189" t="str">
        <f>'SA Oct 2017'!BK34</f>
        <v>n</v>
      </c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  <c r="AQ56" s="228"/>
      <c r="AR56" s="228"/>
      <c r="AS56" s="228"/>
      <c r="AT56" s="228"/>
      <c r="AU56" s="228"/>
      <c r="AV56" s="228"/>
      <c r="AW56" s="228"/>
    </row>
    <row r="57" spans="1:122" ht="14" x14ac:dyDescent="0.15">
      <c r="A57" s="234" t="str">
        <f>'SA Oct 2017'!K35</f>
        <v>Diamond Energy</v>
      </c>
      <c r="B57" s="180" t="str">
        <f>'SA Oct 2017'!L35</f>
        <v>Pay on time discount</v>
      </c>
      <c r="C57" s="181">
        <f>91*'SA Oct 2017'!M35/100</f>
        <v>90.545000000000002</v>
      </c>
      <c r="D57" s="243">
        <f>IF(C48*C49&gt;='SA Oct 2017'!P35,('SA Oct 2017'!P35*'SA Oct 2017'!N35/100),((C48*C49)*'SA Oct 2017'!N35/100))</f>
        <v>419</v>
      </c>
      <c r="E57" s="181">
        <f>IF($C48*C49&lt;'SA Oct 2017'!P35,0,IF(($C48*C49-'SA Oct 2017'!P35)&lt;='SA Oct 2017'!R33,(($C48*C49-'SA Oct 2017'!P35)*'SA Oct 2017'!Q35/100),((('SA Oct 2017'!R35+'SA Oct 2017'!P35)-('SA Oct 2017'!P35))*'SA Oct 2017'!Q35/100)))</f>
        <v>639</v>
      </c>
      <c r="F57" s="181">
        <v>0</v>
      </c>
      <c r="G57" s="181">
        <f>IF(($C$48*$C$49&lt;'SA Oct 2017'!R35+'SA Oct 2017'!P35),(0),((($C$48*$C$49)-('SA Oct 2017'!R35+'SA Oct 2017'!P35))*'SA Oct 2017'!S35/100))</f>
        <v>449</v>
      </c>
      <c r="H57" s="181">
        <f>($C$48*$C$50)*'SA Oct 2017'!W35/100</f>
        <v>419.25</v>
      </c>
      <c r="I57" s="185">
        <f t="shared" si="15"/>
        <v>2016.7950000000001</v>
      </c>
      <c r="J57" s="186">
        <f t="shared" si="16"/>
        <v>8067.18</v>
      </c>
      <c r="K57" s="187">
        <v>0</v>
      </c>
      <c r="L57" s="187">
        <f>'SA Oct 2017'!BA35</f>
        <v>0</v>
      </c>
      <c r="M57" s="187">
        <f>'SA Oct 2017'!BB35</f>
        <v>7</v>
      </c>
      <c r="N57" s="187">
        <f>'SA Oct 2017'!BC35</f>
        <v>0</v>
      </c>
      <c r="O57" s="186">
        <f>J57</f>
        <v>8067.18</v>
      </c>
      <c r="P57" s="186">
        <f>O57-(O57*M57/100)</f>
        <v>7502.4773999999998</v>
      </c>
      <c r="Q57" s="186">
        <f t="shared" si="17"/>
        <v>8873.898000000001</v>
      </c>
      <c r="R57" s="186">
        <f t="shared" si="17"/>
        <v>8252.7251400000005</v>
      </c>
      <c r="S57" s="188">
        <f>'SA Oct 2017'!BJ35</f>
        <v>24</v>
      </c>
      <c r="T57" s="189" t="str">
        <f>'SA Oct 2017'!BK35</f>
        <v>y</v>
      </c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8"/>
      <c r="AQ57" s="228"/>
      <c r="AR57" s="228"/>
      <c r="AS57" s="228"/>
      <c r="AT57" s="228"/>
      <c r="AU57" s="228"/>
      <c r="AV57" s="228"/>
      <c r="AW57" s="228"/>
    </row>
    <row r="58" spans="1:122" s="226" customFormat="1" ht="14" x14ac:dyDescent="0.15">
      <c r="A58" s="234" t="str">
        <f>'SA Oct 2017'!K36</f>
        <v>EnergyAustralia</v>
      </c>
      <c r="B58" s="180" t="str">
        <f>'SA Oct 2017'!L36</f>
        <v>Everyday Saver Business</v>
      </c>
      <c r="C58" s="181">
        <f>91*'SA Oct 2017'!M36/100</f>
        <v>81.536000000000001</v>
      </c>
      <c r="D58" s="243">
        <f>($C$48*$C$49)*'SA Oct 2017'!N36/100</f>
        <v>1834.7</v>
      </c>
      <c r="E58" s="181">
        <v>0</v>
      </c>
      <c r="F58" s="181">
        <v>0</v>
      </c>
      <c r="G58" s="181">
        <v>0</v>
      </c>
      <c r="H58" s="181">
        <f>($C$48*$C$50)*'SA Oct 2017'!W36/100</f>
        <v>379.5</v>
      </c>
      <c r="I58" s="185">
        <f t="shared" si="15"/>
        <v>2295.7359999999999</v>
      </c>
      <c r="J58" s="186">
        <f t="shared" si="16"/>
        <v>9182.9439999999995</v>
      </c>
      <c r="K58" s="187">
        <v>0</v>
      </c>
      <c r="L58" s="187">
        <f>'SA Oct 2017'!BA36</f>
        <v>16</v>
      </c>
      <c r="M58" s="187">
        <f>'SA Oct 2017'!BB36</f>
        <v>0</v>
      </c>
      <c r="N58" s="187">
        <f>'SA Oct 2017'!BC36</f>
        <v>0</v>
      </c>
      <c r="O58" s="186">
        <f>J58-((I58-C58)*L58/100)*4</f>
        <v>7765.8559999999998</v>
      </c>
      <c r="P58" s="186">
        <f>O58</f>
        <v>7765.8559999999998</v>
      </c>
      <c r="Q58" s="186">
        <f t="shared" si="17"/>
        <v>8542.4416000000001</v>
      </c>
      <c r="R58" s="186">
        <f t="shared" si="17"/>
        <v>8542.4416000000001</v>
      </c>
      <c r="S58" s="188">
        <f>'SA Oct 2017'!BJ36</f>
        <v>24</v>
      </c>
      <c r="T58" s="189" t="str">
        <f>'SA Oct 2017'!BK36</f>
        <v>y</v>
      </c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233"/>
      <c r="AV58" s="233"/>
      <c r="AW58" s="233"/>
    </row>
    <row r="59" spans="1:122" ht="14" x14ac:dyDescent="0.15">
      <c r="A59" s="234" t="str">
        <f>'SA Oct 2017'!K37</f>
        <v>ERM Power</v>
      </c>
      <c r="B59" s="180" t="str">
        <f>'SA Oct 2017'!L37</f>
        <v>Adjustable</v>
      </c>
      <c r="C59" s="181">
        <f>91*'SA Oct 2017'!M37/100</f>
        <v>100.1</v>
      </c>
      <c r="D59" s="243">
        <f>($C$48*$C$49)*'SA Oct 2017'!N37/100</f>
        <v>1989.05</v>
      </c>
      <c r="E59" s="181">
        <v>0</v>
      </c>
      <c r="F59" s="181">
        <v>0</v>
      </c>
      <c r="G59" s="181">
        <v>0</v>
      </c>
      <c r="H59" s="181">
        <f>($C$48*$C$50)*'SA Oct 2017'!W37/100</f>
        <v>429.6</v>
      </c>
      <c r="I59" s="185">
        <f t="shared" si="15"/>
        <v>2518.75</v>
      </c>
      <c r="J59" s="186">
        <f t="shared" si="16"/>
        <v>10075</v>
      </c>
      <c r="K59" s="187">
        <v>0</v>
      </c>
      <c r="L59" s="187">
        <f>'SA Oct 2017'!BA37</f>
        <v>0</v>
      </c>
      <c r="M59" s="187">
        <f>'SA Oct 2017'!BB37</f>
        <v>0</v>
      </c>
      <c r="N59" s="187">
        <f>'SA Oct 2017'!BC37</f>
        <v>0</v>
      </c>
      <c r="O59" s="186">
        <f>J59</f>
        <v>10075</v>
      </c>
      <c r="P59" s="186">
        <f>O59</f>
        <v>10075</v>
      </c>
      <c r="Q59" s="186">
        <f t="shared" si="17"/>
        <v>11082.5</v>
      </c>
      <c r="R59" s="186">
        <f t="shared" si="17"/>
        <v>11082.5</v>
      </c>
      <c r="S59" s="188">
        <f>'SA Oct 2017'!BJ37</f>
        <v>0</v>
      </c>
      <c r="T59" s="189" t="str">
        <f>'SA Oct 2017'!BK37</f>
        <v>n</v>
      </c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  <c r="AQ59" s="228"/>
      <c r="AR59" s="228"/>
      <c r="AS59" s="228"/>
      <c r="AT59" s="228"/>
      <c r="AU59" s="228"/>
      <c r="AV59" s="228"/>
      <c r="AW59" s="228"/>
    </row>
    <row r="60" spans="1:122" s="226" customFormat="1" ht="14" x14ac:dyDescent="0.15">
      <c r="A60" s="234" t="str">
        <f>'SA Oct 2017'!K38</f>
        <v>Lumo Energy</v>
      </c>
      <c r="B60" s="180" t="str">
        <f>'SA Oct 2017'!L38</f>
        <v>Business Premium</v>
      </c>
      <c r="C60" s="181">
        <f>91*'SA Oct 2017'!M38/100</f>
        <v>78.587600000000009</v>
      </c>
      <c r="D60" s="243">
        <f>IF($C$48*$C$49&gt;='SA Oct 2017'!P38,('SA Oct 2017'!P38*'SA Oct 2017'!N38/100),(($C$48*$C$49)*'SA Oct 2017'!N38/100))</f>
        <v>0</v>
      </c>
      <c r="E60" s="181">
        <v>0</v>
      </c>
      <c r="F60" s="181">
        <v>0</v>
      </c>
      <c r="G60" s="181">
        <f>IF(($C$48*$C$49&lt;'SA Oct 2017'!P38),(0),(($C$48*$C$49)-'SA Oct 2017'!P38))*'SA Oct 2017'!Q38/100</f>
        <v>0</v>
      </c>
      <c r="H60" s="181">
        <f>($C$48*$C$50)*'SA Oct 2017'!W38/100</f>
        <v>411</v>
      </c>
      <c r="I60" s="185">
        <f t="shared" si="15"/>
        <v>489.58760000000001</v>
      </c>
      <c r="J60" s="186">
        <f t="shared" si="16"/>
        <v>1958.3504</v>
      </c>
      <c r="K60" s="187">
        <v>0</v>
      </c>
      <c r="L60" s="187">
        <f>'SA Oct 2017'!BA38</f>
        <v>0</v>
      </c>
      <c r="M60" s="187">
        <f>'SA Oct 2017'!BB38</f>
        <v>0</v>
      </c>
      <c r="N60" s="187">
        <f>'SA Oct 2017'!BC38</f>
        <v>0</v>
      </c>
      <c r="O60" s="186">
        <f t="shared" ref="O60:O61" si="18">J60</f>
        <v>1958.3504</v>
      </c>
      <c r="P60" s="186">
        <f t="shared" ref="P60:P61" si="19">O60</f>
        <v>1958.3504</v>
      </c>
      <c r="Q60" s="186">
        <f t="shared" si="17"/>
        <v>2154.1854400000002</v>
      </c>
      <c r="R60" s="186">
        <f t="shared" si="17"/>
        <v>2154.1854400000002</v>
      </c>
      <c r="S60" s="188">
        <f>'SA Oct 2017'!BJ38</f>
        <v>36</v>
      </c>
      <c r="T60" s="189" t="str">
        <f>'SA Oct 2017'!BK38</f>
        <v>n</v>
      </c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</row>
    <row r="61" spans="1:122" ht="14" x14ac:dyDescent="0.15">
      <c r="A61" s="234" t="str">
        <f>'SA Oct 2017'!K39</f>
        <v>Momentum Energy</v>
      </c>
      <c r="B61" s="180" t="str">
        <f>'SA Oct 2017'!L39</f>
        <v>SmilePower</v>
      </c>
      <c r="C61" s="181">
        <f>91*'SA Oct 2017'!M39/100</f>
        <v>82.400499999999994</v>
      </c>
      <c r="D61" s="243">
        <f>IF($C$48*$C$49&gt;='SA Oct 2017'!P39,('SA Oct 2017'!P39*'SA Oct 2017'!N39/100),(($C$48*$C$49)*'SA Oct 2017'!N39/100))</f>
        <v>558.12</v>
      </c>
      <c r="E61" s="181">
        <v>0</v>
      </c>
      <c r="F61" s="181">
        <v>0</v>
      </c>
      <c r="G61" s="181">
        <f>IF(($C$48*$C$49&lt;'SA Oct 2017'!P39),(0),(($C$48*$C$49)-'SA Oct 2017'!P39))*'SA Oct 2017'!Q39/100</f>
        <v>1048.3399999999999</v>
      </c>
      <c r="H61" s="181">
        <f>($C$48*$C$50)*'SA Oct 2017'!W39/100</f>
        <v>417.9</v>
      </c>
      <c r="I61" s="185">
        <f t="shared" si="15"/>
        <v>2106.7604999999999</v>
      </c>
      <c r="J61" s="186">
        <f t="shared" si="16"/>
        <v>8427.0419999999995</v>
      </c>
      <c r="K61" s="187">
        <v>0</v>
      </c>
      <c r="L61" s="187">
        <f>'SA Oct 2017'!BA39</f>
        <v>0</v>
      </c>
      <c r="M61" s="187">
        <f>'SA Oct 2017'!BB39</f>
        <v>0</v>
      </c>
      <c r="N61" s="187">
        <f>'SA Oct 2017'!BC39</f>
        <v>0</v>
      </c>
      <c r="O61" s="186">
        <f t="shared" si="18"/>
        <v>8427.0419999999995</v>
      </c>
      <c r="P61" s="186">
        <f t="shared" si="19"/>
        <v>8427.0419999999995</v>
      </c>
      <c r="Q61" s="186">
        <f t="shared" si="17"/>
        <v>9269.7461999999996</v>
      </c>
      <c r="R61" s="186">
        <f t="shared" si="17"/>
        <v>9269.7461999999996</v>
      </c>
      <c r="S61" s="188">
        <f>'SA Oct 2017'!BJ39</f>
        <v>12</v>
      </c>
      <c r="T61" s="189" t="str">
        <f>'SA Oct 2017'!BK39</f>
        <v>y</v>
      </c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</row>
    <row r="62" spans="1:122" s="226" customFormat="1" ht="14" x14ac:dyDescent="0.15">
      <c r="A62" s="234" t="str">
        <f>'SA Oct 2017'!K40</f>
        <v>Origin Energy</v>
      </c>
      <c r="B62" s="180" t="str">
        <f>'SA Oct 2017'!L40</f>
        <v>Business Saver</v>
      </c>
      <c r="C62" s="181">
        <f>91*'SA Oct 2017'!M40/100</f>
        <v>82.764500000000012</v>
      </c>
      <c r="D62" s="243">
        <f>($C$48*$C$49)*'SA Oct 2017'!N40/100</f>
        <v>1493.1</v>
      </c>
      <c r="E62" s="181">
        <v>0</v>
      </c>
      <c r="F62" s="181">
        <v>0</v>
      </c>
      <c r="G62" s="181">
        <v>0</v>
      </c>
      <c r="H62" s="181">
        <f>($C$48*$C$50)*'SA Oct 2017'!W40/100</f>
        <v>415.5</v>
      </c>
      <c r="I62" s="185">
        <f t="shared" si="15"/>
        <v>1991.3644999999999</v>
      </c>
      <c r="J62" s="186">
        <f t="shared" si="16"/>
        <v>7965.4579999999996</v>
      </c>
      <c r="K62" s="187">
        <v>0</v>
      </c>
      <c r="L62" s="187">
        <f>'SA Oct 2017'!BA40</f>
        <v>16</v>
      </c>
      <c r="M62" s="187">
        <f>'SA Oct 2017'!BB40</f>
        <v>0</v>
      </c>
      <c r="N62" s="187">
        <f>'SA Oct 2017'!BC40</f>
        <v>0</v>
      </c>
      <c r="O62" s="186">
        <f>J62-((I62-C62)*L62/100)*4</f>
        <v>6743.9539999999997</v>
      </c>
      <c r="P62" s="186">
        <f>O62</f>
        <v>6743.9539999999997</v>
      </c>
      <c r="Q62" s="186">
        <f t="shared" si="17"/>
        <v>7418.3494000000001</v>
      </c>
      <c r="R62" s="186">
        <f t="shared" si="17"/>
        <v>7418.3494000000001</v>
      </c>
      <c r="S62" s="188">
        <f>'SA Oct 2017'!BJ40</f>
        <v>12</v>
      </c>
      <c r="T62" s="189" t="str">
        <f>'SA Oct 2017'!BK40</f>
        <v>y</v>
      </c>
      <c r="U62" s="228"/>
      <c r="V62" s="233"/>
      <c r="W62" s="228"/>
      <c r="X62" s="233"/>
      <c r="Y62" s="228"/>
      <c r="Z62" s="233"/>
      <c r="AA62" s="228"/>
      <c r="AB62" s="233"/>
      <c r="AC62" s="228"/>
      <c r="AD62" s="233"/>
      <c r="AE62" s="228"/>
      <c r="AF62" s="233"/>
      <c r="AG62" s="228"/>
      <c r="AH62" s="233"/>
      <c r="AI62" s="228"/>
      <c r="AJ62" s="233"/>
      <c r="AK62" s="228"/>
      <c r="AL62" s="233"/>
      <c r="AM62" s="228"/>
      <c r="AN62" s="233"/>
      <c r="AO62" s="228"/>
      <c r="AP62" s="233"/>
      <c r="AQ62" s="228"/>
      <c r="AR62" s="233"/>
      <c r="AS62" s="228"/>
      <c r="AT62" s="233"/>
      <c r="AU62" s="228"/>
      <c r="AV62" s="233"/>
      <c r="AW62" s="228"/>
    </row>
    <row r="63" spans="1:122" s="225" customFormat="1" ht="14" x14ac:dyDescent="0.15">
      <c r="A63" s="234" t="str">
        <f>'SA Oct 2017'!K41</f>
        <v>Powerdirect</v>
      </c>
      <c r="B63" s="180" t="str">
        <f>'SA Oct 2017'!L41</f>
        <v>Quarterly read</v>
      </c>
      <c r="C63" s="181">
        <f>91*'SA Oct 2017'!M41/100</f>
        <v>82.81</v>
      </c>
      <c r="D63" s="243">
        <f>($C$48*$C$49)*'SA Oct 2017'!N41/100</f>
        <v>1264.1999999999998</v>
      </c>
      <c r="E63" s="181">
        <v>0</v>
      </c>
      <c r="F63" s="181">
        <v>0</v>
      </c>
      <c r="G63" s="181">
        <v>0</v>
      </c>
      <c r="H63" s="181">
        <f>($C$48*$C$50)*'SA Oct 2017'!W41/100</f>
        <v>352.8</v>
      </c>
      <c r="I63" s="185">
        <f t="shared" si="15"/>
        <v>1699.8099999999997</v>
      </c>
      <c r="J63" s="186">
        <f t="shared" si="16"/>
        <v>6799.2399999999989</v>
      </c>
      <c r="K63" s="187">
        <v>0</v>
      </c>
      <c r="L63" s="187">
        <f>'SA Oct 2017'!BA41</f>
        <v>0</v>
      </c>
      <c r="M63" s="187">
        <f>'SA Oct 2017'!BB41</f>
        <v>0</v>
      </c>
      <c r="N63" s="187">
        <f>'SA Oct 2017'!BC41</f>
        <v>0</v>
      </c>
      <c r="O63" s="186">
        <f t="shared" ref="O63" si="20">J63</f>
        <v>6799.2399999999989</v>
      </c>
      <c r="P63" s="186">
        <f t="shared" ref="P63" si="21">O63</f>
        <v>6799.2399999999989</v>
      </c>
      <c r="Q63" s="186">
        <f t="shared" si="17"/>
        <v>7479.1639999999998</v>
      </c>
      <c r="R63" s="186">
        <f t="shared" si="17"/>
        <v>7479.1639999999998</v>
      </c>
      <c r="S63" s="188">
        <f>'SA Oct 2017'!BJ41</f>
        <v>0</v>
      </c>
      <c r="T63" s="189" t="str">
        <f>'SA Oct 2017'!BK41</f>
        <v>n</v>
      </c>
      <c r="U63" s="228"/>
      <c r="V63" s="233"/>
      <c r="W63" s="228"/>
      <c r="X63" s="233"/>
      <c r="Y63" s="228"/>
      <c r="Z63" s="233"/>
      <c r="AA63" s="228"/>
      <c r="AB63" s="233"/>
      <c r="AC63" s="228"/>
      <c r="AD63" s="233"/>
      <c r="AE63" s="228"/>
      <c r="AF63" s="233"/>
      <c r="AG63" s="228"/>
      <c r="AH63" s="233"/>
      <c r="AI63" s="228"/>
      <c r="AJ63" s="233"/>
      <c r="AK63" s="228"/>
      <c r="AL63" s="233"/>
      <c r="AM63" s="228"/>
      <c r="AN63" s="233"/>
      <c r="AO63" s="228"/>
      <c r="AP63" s="233"/>
      <c r="AQ63" s="228"/>
      <c r="AR63" s="233"/>
      <c r="AS63" s="228"/>
      <c r="AT63" s="233"/>
      <c r="AU63" s="228"/>
      <c r="AV63" s="233"/>
      <c r="AW63" s="228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6"/>
      <c r="CQ63" s="226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6"/>
      <c r="DD63" s="226"/>
      <c r="DE63" s="226"/>
      <c r="DF63" s="226"/>
      <c r="DG63" s="226"/>
      <c r="DH63" s="226"/>
      <c r="DI63" s="226"/>
      <c r="DJ63" s="226"/>
      <c r="DK63" s="226"/>
      <c r="DL63" s="226"/>
      <c r="DM63" s="226"/>
      <c r="DN63" s="226"/>
      <c r="DO63" s="226"/>
      <c r="DP63" s="226"/>
      <c r="DQ63" s="226"/>
      <c r="DR63" s="226"/>
    </row>
    <row r="64" spans="1:122" s="226" customFormat="1" ht="14" x14ac:dyDescent="0.15">
      <c r="A64" s="234" t="str">
        <f>'SA Oct 2017'!K42</f>
        <v>Red Energy</v>
      </c>
      <c r="B64" s="180" t="str">
        <f>'SA Oct 2017'!L42</f>
        <v>No exit fee saver</v>
      </c>
      <c r="C64" s="181">
        <f>91*'SA Oct 2017'!M42/100</f>
        <v>93.275000000000006</v>
      </c>
      <c r="D64" s="243">
        <f>($C$48*$C$49)*'SA Oct 2017'!N42/100</f>
        <v>1589.7</v>
      </c>
      <c r="E64" s="181">
        <v>0</v>
      </c>
      <c r="F64" s="181">
        <v>0</v>
      </c>
      <c r="G64" s="181">
        <v>0</v>
      </c>
      <c r="H64" s="181">
        <f>($C$48*$C$50)*'SA Oct 2017'!W42/100</f>
        <v>502.65</v>
      </c>
      <c r="I64" s="185">
        <f t="shared" si="15"/>
        <v>2185.625</v>
      </c>
      <c r="J64" s="186">
        <f t="shared" si="16"/>
        <v>8742.5</v>
      </c>
      <c r="K64" s="187">
        <v>0</v>
      </c>
      <c r="L64" s="187">
        <f>'SA Oct 2017'!BA42</f>
        <v>0</v>
      </c>
      <c r="M64" s="187">
        <f>'SA Oct 2017'!BB42</f>
        <v>10</v>
      </c>
      <c r="N64" s="187">
        <f>'SA Oct 2017'!BC42</f>
        <v>0</v>
      </c>
      <c r="O64" s="186">
        <f>J64</f>
        <v>8742.5</v>
      </c>
      <c r="P64" s="186">
        <f>O64-(O64*M64/100)</f>
        <v>7868.25</v>
      </c>
      <c r="Q64" s="186">
        <f t="shared" si="17"/>
        <v>9616.75</v>
      </c>
      <c r="R64" s="186">
        <f t="shared" si="17"/>
        <v>8655.0750000000007</v>
      </c>
      <c r="S64" s="188">
        <f>'SA Oct 2017'!BJ42</f>
        <v>0</v>
      </c>
      <c r="T64" s="189" t="str">
        <f>'SA Oct 2017'!BK42</f>
        <v>n</v>
      </c>
      <c r="U64" s="228"/>
      <c r="V64" s="233"/>
      <c r="W64" s="228"/>
      <c r="X64" s="233"/>
      <c r="Y64" s="228"/>
      <c r="Z64" s="233"/>
      <c r="AA64" s="228"/>
      <c r="AB64" s="233"/>
      <c r="AC64" s="228"/>
      <c r="AD64" s="233"/>
      <c r="AE64" s="228"/>
      <c r="AF64" s="233"/>
      <c r="AG64" s="228"/>
      <c r="AH64" s="233"/>
      <c r="AI64" s="228"/>
      <c r="AJ64" s="233"/>
      <c r="AK64" s="228"/>
      <c r="AL64" s="233"/>
      <c r="AM64" s="228"/>
      <c r="AN64" s="233"/>
      <c r="AO64" s="228"/>
      <c r="AP64" s="233"/>
      <c r="AQ64" s="228"/>
      <c r="AR64" s="233"/>
      <c r="AS64" s="228"/>
      <c r="AT64" s="233"/>
      <c r="AU64" s="228"/>
      <c r="AV64" s="233"/>
      <c r="AW64" s="228"/>
    </row>
    <row r="65" spans="1:122" s="225" customFormat="1" ht="14" x14ac:dyDescent="0.15">
      <c r="A65" s="234" t="str">
        <f>'SA Oct 2017'!K43</f>
        <v>Simply Energy</v>
      </c>
      <c r="B65" s="180" t="str">
        <f>'SA Oct 2017'!L43</f>
        <v>Business Plus Online</v>
      </c>
      <c r="C65" s="181">
        <f>91*'SA Oct 2017'!M43/100</f>
        <v>90.626900000000006</v>
      </c>
      <c r="D65" s="243">
        <f>($C$48*$C$49)*'SA Oct 2017'!N43/100</f>
        <v>1706.25</v>
      </c>
      <c r="E65" s="181">
        <v>0</v>
      </c>
      <c r="F65" s="181">
        <v>0</v>
      </c>
      <c r="G65" s="181">
        <v>0</v>
      </c>
      <c r="H65" s="181">
        <f>($C$48*$C$50)*'SA Oct 2017'!W43/100</f>
        <v>428.25</v>
      </c>
      <c r="I65" s="185">
        <f t="shared" si="15"/>
        <v>2225.1269000000002</v>
      </c>
      <c r="J65" s="186">
        <f t="shared" si="16"/>
        <v>8900.5076000000008</v>
      </c>
      <c r="K65" s="187">
        <v>0</v>
      </c>
      <c r="L65" s="187">
        <f>'SA Oct 2017'!BA43</f>
        <v>15</v>
      </c>
      <c r="M65" s="187">
        <f>'SA Oct 2017'!BB43</f>
        <v>0</v>
      </c>
      <c r="N65" s="187">
        <f>'SA Oct 2017'!BC43</f>
        <v>0</v>
      </c>
      <c r="O65" s="186">
        <f>J65-((I65-C65)*L65/100)*4</f>
        <v>7619.807600000001</v>
      </c>
      <c r="P65" s="186">
        <f>O65</f>
        <v>7619.807600000001</v>
      </c>
      <c r="Q65" s="186">
        <f t="shared" si="17"/>
        <v>8381.7883600000023</v>
      </c>
      <c r="R65" s="186">
        <f t="shared" si="17"/>
        <v>8381.7883600000023</v>
      </c>
      <c r="S65" s="188">
        <f>'SA Oct 2017'!BJ43</f>
        <v>24</v>
      </c>
      <c r="T65" s="189" t="str">
        <f>'SA Oct 2017'!BK43</f>
        <v>y</v>
      </c>
      <c r="U65" s="228"/>
      <c r="V65" s="233"/>
      <c r="W65" s="228"/>
      <c r="X65" s="233"/>
      <c r="Y65" s="228"/>
      <c r="Z65" s="233"/>
      <c r="AA65" s="228"/>
      <c r="AB65" s="233"/>
      <c r="AC65" s="228"/>
      <c r="AD65" s="233"/>
      <c r="AE65" s="228"/>
      <c r="AF65" s="233"/>
      <c r="AG65" s="228"/>
      <c r="AH65" s="233"/>
      <c r="AI65" s="228"/>
      <c r="AJ65" s="233"/>
      <c r="AK65" s="228"/>
      <c r="AL65" s="233"/>
      <c r="AM65" s="228"/>
      <c r="AN65" s="233"/>
      <c r="AO65" s="228"/>
      <c r="AP65" s="233"/>
      <c r="AQ65" s="228"/>
      <c r="AR65" s="233"/>
      <c r="AS65" s="228"/>
      <c r="AT65" s="233"/>
      <c r="AU65" s="228"/>
      <c r="AV65" s="233"/>
      <c r="AW65" s="228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6"/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6"/>
      <c r="CB65" s="226"/>
      <c r="CC65" s="226"/>
      <c r="CD65" s="226"/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6"/>
      <c r="CQ65" s="226"/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6"/>
      <c r="DD65" s="226"/>
      <c r="DE65" s="226"/>
      <c r="DF65" s="226"/>
      <c r="DG65" s="226"/>
      <c r="DH65" s="226"/>
      <c r="DI65" s="226"/>
      <c r="DJ65" s="226"/>
      <c r="DK65" s="226"/>
      <c r="DL65" s="226"/>
      <c r="DM65" s="226"/>
      <c r="DN65" s="226"/>
      <c r="DO65" s="226"/>
      <c r="DP65" s="226"/>
      <c r="DQ65" s="226"/>
      <c r="DR65" s="226"/>
    </row>
    <row r="66" spans="1:122" s="226" customFormat="1" ht="14" x14ac:dyDescent="0.15">
      <c r="A66" s="234" t="str">
        <f>'SA Oct 2017'!K44</f>
        <v>Blue NRG</v>
      </c>
      <c r="B66" s="180" t="str">
        <f>'SA Oct 2017'!L44</f>
        <v>Market offer</v>
      </c>
      <c r="C66" s="181">
        <f>91*'SA Oct 2017'!M44/100</f>
        <v>91</v>
      </c>
      <c r="D66" s="243">
        <f>($C$48*$C$49)*'SA Oct 2017'!N44/100</f>
        <v>1596</v>
      </c>
      <c r="E66" s="181">
        <v>0</v>
      </c>
      <c r="F66" s="181">
        <v>0</v>
      </c>
      <c r="G66" s="181">
        <v>0</v>
      </c>
      <c r="H66" s="181">
        <f>($C$48*$C$50)*'SA Oct 2017'!W44/100</f>
        <v>442.5</v>
      </c>
      <c r="I66" s="185">
        <f t="shared" si="15"/>
        <v>2129.5</v>
      </c>
      <c r="J66" s="186">
        <f t="shared" si="16"/>
        <v>8518</v>
      </c>
      <c r="K66" s="187">
        <v>0</v>
      </c>
      <c r="L66" s="187">
        <f>'SA Oct 2017'!BA44</f>
        <v>0</v>
      </c>
      <c r="M66" s="187">
        <f>'SA Oct 2017'!BB44</f>
        <v>0</v>
      </c>
      <c r="N66" s="187">
        <f>'SA Oct 2017'!BC44</f>
        <v>0</v>
      </c>
      <c r="O66" s="186">
        <f>J66</f>
        <v>8518</v>
      </c>
      <c r="P66" s="186">
        <f t="shared" ref="P66:P67" si="22">O66</f>
        <v>8518</v>
      </c>
      <c r="Q66" s="186">
        <f t="shared" si="17"/>
        <v>9369.8000000000011</v>
      </c>
      <c r="R66" s="186">
        <f t="shared" si="17"/>
        <v>9369.8000000000011</v>
      </c>
      <c r="S66" s="188">
        <f>'SA Oct 2017'!BJ44</f>
        <v>0</v>
      </c>
      <c r="T66" s="189" t="str">
        <f>'SA Oct 2017'!BK44</f>
        <v>n</v>
      </c>
      <c r="U66" s="228"/>
      <c r="V66" s="233"/>
      <c r="W66" s="228"/>
      <c r="X66" s="233"/>
      <c r="Y66" s="228"/>
      <c r="Z66" s="233"/>
      <c r="AA66" s="228"/>
      <c r="AB66" s="233"/>
      <c r="AC66" s="228"/>
      <c r="AD66" s="233"/>
      <c r="AE66" s="228"/>
      <c r="AF66" s="233"/>
      <c r="AG66" s="228"/>
      <c r="AH66" s="233"/>
      <c r="AI66" s="228"/>
      <c r="AJ66" s="233"/>
      <c r="AK66" s="228"/>
      <c r="AL66" s="233"/>
      <c r="AM66" s="228"/>
      <c r="AN66" s="233"/>
      <c r="AO66" s="228"/>
      <c r="AP66" s="233"/>
      <c r="AQ66" s="228"/>
      <c r="AR66" s="233"/>
      <c r="AS66" s="228"/>
      <c r="AT66" s="233"/>
      <c r="AU66" s="228"/>
      <c r="AV66" s="233"/>
      <c r="AW66" s="228"/>
    </row>
    <row r="67" spans="1:122" s="226" customFormat="1" ht="15" thickBot="1" x14ac:dyDescent="0.2">
      <c r="A67" s="235" t="str">
        <f>'SA Oct 2017'!K45</f>
        <v>Q Energy</v>
      </c>
      <c r="B67" s="207" t="str">
        <f>'SA Oct 2017'!L45</f>
        <v>Flexi Biz</v>
      </c>
      <c r="C67" s="193">
        <f>91*'SA Oct 2017'!M45/100</f>
        <v>81.900000000000006</v>
      </c>
      <c r="D67" s="244">
        <f>($C$48*$C$49)*'SA Oct 2017'!N45/100</f>
        <v>1190</v>
      </c>
      <c r="E67" s="193">
        <v>0</v>
      </c>
      <c r="F67" s="193">
        <v>0</v>
      </c>
      <c r="G67" s="193">
        <v>0</v>
      </c>
      <c r="H67" s="193">
        <f>($C$48*$C$50)*'SA Oct 2017'!W45/100</f>
        <v>330</v>
      </c>
      <c r="I67" s="195">
        <f t="shared" si="15"/>
        <v>1601.9</v>
      </c>
      <c r="J67" s="196">
        <f t="shared" si="16"/>
        <v>6407.6</v>
      </c>
      <c r="K67" s="197">
        <v>0</v>
      </c>
      <c r="L67" s="197">
        <f>'SA Oct 2017'!BA45</f>
        <v>0</v>
      </c>
      <c r="M67" s="197">
        <f>'SA Oct 2017'!BB45</f>
        <v>0</v>
      </c>
      <c r="N67" s="197">
        <f>'SA Oct 2017'!BC45</f>
        <v>0</v>
      </c>
      <c r="O67" s="196">
        <f>J67</f>
        <v>6407.6</v>
      </c>
      <c r="P67" s="196">
        <f t="shared" si="22"/>
        <v>6407.6</v>
      </c>
      <c r="Q67" s="196">
        <f t="shared" si="17"/>
        <v>7048.3600000000006</v>
      </c>
      <c r="R67" s="196">
        <f t="shared" si="17"/>
        <v>7048.3600000000006</v>
      </c>
      <c r="S67" s="198">
        <f>'SA Oct 2017'!BJ45</f>
        <v>24</v>
      </c>
      <c r="T67" s="199" t="str">
        <f>'SA Oct 2017'!BK45</f>
        <v>y</v>
      </c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</row>
    <row r="68" spans="1:122" s="226" customFormat="1" ht="14" x14ac:dyDescent="0.15">
      <c r="A68" s="228"/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</row>
    <row r="69" spans="1:122" s="226" customFormat="1" ht="14" x14ac:dyDescent="0.15">
      <c r="A69" s="228"/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</row>
    <row r="70" spans="1:122" s="226" customFormat="1" ht="14" x14ac:dyDescent="0.15">
      <c r="A70" s="228"/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  <c r="AM70" s="228"/>
      <c r="AN70" s="228"/>
      <c r="AO70" s="228"/>
      <c r="AP70" s="228"/>
      <c r="AQ70" s="228"/>
      <c r="AR70" s="228"/>
      <c r="AS70" s="228"/>
      <c r="AT70" s="228"/>
      <c r="AU70" s="228"/>
      <c r="AV70" s="228"/>
      <c r="AW70" s="228"/>
    </row>
    <row r="71" spans="1:122" s="226" customFormat="1" ht="14" x14ac:dyDescent="0.15">
      <c r="A71" s="228"/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228"/>
      <c r="AW71" s="228"/>
    </row>
    <row r="72" spans="1:122" s="226" customFormat="1" ht="14" x14ac:dyDescent="0.15">
      <c r="A72" s="228"/>
      <c r="B72" s="228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</row>
    <row r="73" spans="1:122" s="226" customFormat="1" ht="14" x14ac:dyDescent="0.15">
      <c r="A73" s="228"/>
      <c r="B73" s="228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</row>
    <row r="74" spans="1:122" s="226" customFormat="1" ht="14" x14ac:dyDescent="0.15">
      <c r="A74" s="228"/>
      <c r="B74" s="228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</row>
    <row r="75" spans="1:122" s="226" customFormat="1" ht="14" x14ac:dyDescent="0.15">
      <c r="A75" s="228"/>
      <c r="B75" s="228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</row>
    <row r="76" spans="1:122" s="226" customFormat="1" ht="14" x14ac:dyDescent="0.15">
      <c r="A76" s="228"/>
      <c r="B76" s="228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</row>
    <row r="77" spans="1:122" s="226" customFormat="1" ht="14" x14ac:dyDescent="0.15">
      <c r="A77" s="228"/>
      <c r="B77" s="228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</row>
    <row r="78" spans="1:122" s="226" customFormat="1" ht="14" x14ac:dyDescent="0.15">
      <c r="A78" s="228"/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</row>
    <row r="79" spans="1:122" s="226" customFormat="1" ht="14" x14ac:dyDescent="0.15">
      <c r="A79" s="228"/>
      <c r="B79" s="228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</row>
    <row r="80" spans="1:122" s="226" customFormat="1" ht="14" x14ac:dyDescent="0.15">
      <c r="A80" s="228"/>
      <c r="B80" s="228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</row>
    <row r="81" spans="1:49" s="226" customFormat="1" ht="14" x14ac:dyDescent="0.15">
      <c r="A81" s="228"/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</row>
    <row r="82" spans="1:49" s="226" customFormat="1" ht="14" x14ac:dyDescent="0.15">
      <c r="A82" s="228"/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</row>
    <row r="83" spans="1:49" s="226" customFormat="1" ht="14" x14ac:dyDescent="0.15">
      <c r="A83" s="228"/>
      <c r="B83" s="228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</row>
    <row r="84" spans="1:49" s="226" customFormat="1" ht="14" x14ac:dyDescent="0.15">
      <c r="A84" s="228"/>
      <c r="B84" s="228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</row>
    <row r="85" spans="1:49" s="226" customFormat="1" ht="14" x14ac:dyDescent="0.15">
      <c r="A85" s="228"/>
      <c r="B85" s="228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</row>
    <row r="86" spans="1:49" s="226" customFormat="1" ht="14" x14ac:dyDescent="0.15">
      <c r="A86" s="228"/>
      <c r="B86" s="228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</row>
    <row r="87" spans="1:49" s="226" customFormat="1" ht="14" x14ac:dyDescent="0.15">
      <c r="A87" s="228"/>
      <c r="B87" s="228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</row>
    <row r="88" spans="1:49" s="226" customFormat="1" ht="14" x14ac:dyDescent="0.15">
      <c r="A88" s="228"/>
      <c r="B88" s="228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8"/>
      <c r="AL88" s="228"/>
      <c r="AM88" s="228"/>
      <c r="AN88" s="228"/>
      <c r="AO88" s="228"/>
      <c r="AP88" s="228"/>
      <c r="AQ88" s="228"/>
      <c r="AR88" s="228"/>
      <c r="AS88" s="228"/>
      <c r="AT88" s="228"/>
      <c r="AU88" s="228"/>
      <c r="AV88" s="228"/>
      <c r="AW88" s="228"/>
    </row>
    <row r="89" spans="1:49" s="226" customFormat="1" ht="14" x14ac:dyDescent="0.15">
      <c r="A89" s="228"/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</row>
    <row r="90" spans="1:49" s="226" customFormat="1" ht="14" x14ac:dyDescent="0.15">
      <c r="A90" s="228"/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</row>
    <row r="91" spans="1:49" s="226" customFormat="1" ht="14" x14ac:dyDescent="0.15">
      <c r="A91" s="228"/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</row>
    <row r="92" spans="1:49" s="226" customFormat="1" ht="14" x14ac:dyDescent="0.15">
      <c r="A92" s="228"/>
      <c r="B92" s="228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</row>
    <row r="93" spans="1:49" s="226" customFormat="1" ht="14" x14ac:dyDescent="0.15">
      <c r="A93" s="228"/>
      <c r="B93" s="228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</row>
    <row r="94" spans="1:49" s="226" customFormat="1" ht="14" x14ac:dyDescent="0.15">
      <c r="A94" s="228"/>
      <c r="B94" s="228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</row>
    <row r="95" spans="1:49" s="226" customFormat="1" ht="14" x14ac:dyDescent="0.15">
      <c r="A95" s="228"/>
      <c r="B95" s="228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  <c r="AG95" s="228"/>
      <c r="AH95" s="228"/>
      <c r="AI95" s="228"/>
      <c r="AJ95" s="228"/>
      <c r="AK95" s="228"/>
      <c r="AL95" s="228"/>
      <c r="AM95" s="228"/>
      <c r="AN95" s="228"/>
      <c r="AO95" s="228"/>
      <c r="AP95" s="228"/>
      <c r="AQ95" s="228"/>
      <c r="AR95" s="228"/>
      <c r="AS95" s="228"/>
      <c r="AT95" s="228"/>
      <c r="AU95" s="228"/>
      <c r="AV95" s="228"/>
      <c r="AW95" s="228"/>
    </row>
    <row r="96" spans="1:49" s="226" customFormat="1" ht="14" x14ac:dyDescent="0.15">
      <c r="A96" s="228"/>
      <c r="B96" s="228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8"/>
      <c r="AL96" s="228"/>
      <c r="AM96" s="228"/>
      <c r="AN96" s="228"/>
      <c r="AO96" s="228"/>
      <c r="AP96" s="228"/>
      <c r="AQ96" s="228"/>
      <c r="AR96" s="228"/>
      <c r="AS96" s="228"/>
      <c r="AT96" s="228"/>
      <c r="AU96" s="228"/>
      <c r="AV96" s="228"/>
      <c r="AW96" s="228"/>
    </row>
    <row r="97" spans="1:49" s="226" customFormat="1" ht="14" x14ac:dyDescent="0.15">
      <c r="A97" s="228"/>
      <c r="B97" s="228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  <c r="AG97" s="228"/>
      <c r="AH97" s="228"/>
      <c r="AI97" s="228"/>
      <c r="AJ97" s="228"/>
      <c r="AK97" s="228"/>
      <c r="AL97" s="228"/>
      <c r="AM97" s="228"/>
      <c r="AN97" s="228"/>
      <c r="AO97" s="228"/>
      <c r="AP97" s="228"/>
      <c r="AQ97" s="228"/>
      <c r="AR97" s="228"/>
      <c r="AS97" s="228"/>
      <c r="AT97" s="228"/>
      <c r="AU97" s="228"/>
      <c r="AV97" s="228"/>
      <c r="AW97" s="228"/>
    </row>
    <row r="98" spans="1:49" s="226" customFormat="1" ht="14" x14ac:dyDescent="0.15">
      <c r="A98" s="228"/>
      <c r="B98" s="228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  <c r="AV98" s="228"/>
      <c r="AW98" s="228"/>
    </row>
    <row r="99" spans="1:49" s="226" customFormat="1" ht="14" x14ac:dyDescent="0.15">
      <c r="A99" s="228"/>
      <c r="B99" s="228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  <c r="AL99" s="228"/>
      <c r="AM99" s="228"/>
      <c r="AN99" s="228"/>
      <c r="AO99" s="228"/>
      <c r="AP99" s="228"/>
      <c r="AQ99" s="228"/>
      <c r="AR99" s="228"/>
      <c r="AS99" s="228"/>
      <c r="AT99" s="228"/>
      <c r="AU99" s="228"/>
      <c r="AV99" s="228"/>
      <c r="AW99" s="228"/>
    </row>
    <row r="100" spans="1:49" s="226" customFormat="1" ht="14" x14ac:dyDescent="0.15">
      <c r="A100" s="228"/>
      <c r="B100" s="228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8"/>
      <c r="AL100" s="228"/>
      <c r="AM100" s="228"/>
      <c r="AN100" s="228"/>
      <c r="AO100" s="228"/>
      <c r="AP100" s="228"/>
      <c r="AQ100" s="228"/>
      <c r="AR100" s="228"/>
      <c r="AS100" s="228"/>
      <c r="AT100" s="228"/>
      <c r="AU100" s="228"/>
      <c r="AV100" s="228"/>
      <c r="AW100" s="228"/>
    </row>
    <row r="101" spans="1:49" s="226" customFormat="1" ht="14" x14ac:dyDescent="0.15">
      <c r="A101" s="228"/>
      <c r="B101" s="228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28"/>
      <c r="AH101" s="228"/>
      <c r="AI101" s="228"/>
      <c r="AJ101" s="228"/>
      <c r="AK101" s="228"/>
      <c r="AL101" s="228"/>
      <c r="AM101" s="228"/>
      <c r="AN101" s="228"/>
      <c r="AO101" s="228"/>
      <c r="AP101" s="228"/>
      <c r="AQ101" s="228"/>
      <c r="AR101" s="228"/>
      <c r="AS101" s="228"/>
      <c r="AT101" s="228"/>
      <c r="AU101" s="228"/>
      <c r="AV101" s="228"/>
      <c r="AW101" s="228"/>
    </row>
    <row r="102" spans="1:49" s="226" customFormat="1" ht="14" x14ac:dyDescent="0.15">
      <c r="A102" s="228"/>
      <c r="B102" s="228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  <c r="AG102" s="228"/>
      <c r="AH102" s="228"/>
      <c r="AI102" s="228"/>
      <c r="AJ102" s="228"/>
      <c r="AK102" s="228"/>
      <c r="AL102" s="228"/>
      <c r="AM102" s="228"/>
      <c r="AN102" s="228"/>
      <c r="AO102" s="228"/>
      <c r="AP102" s="228"/>
      <c r="AQ102" s="228"/>
      <c r="AR102" s="228"/>
      <c r="AS102" s="228"/>
      <c r="AT102" s="228"/>
      <c r="AU102" s="228"/>
      <c r="AV102" s="228"/>
      <c r="AW102" s="228"/>
    </row>
    <row r="103" spans="1:49" s="226" customFormat="1" ht="14" x14ac:dyDescent="0.15">
      <c r="A103" s="228"/>
      <c r="B103" s="228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28"/>
      <c r="AC103" s="228"/>
      <c r="AD103" s="228"/>
      <c r="AE103" s="228"/>
      <c r="AF103" s="228"/>
      <c r="AG103" s="228"/>
      <c r="AH103" s="228"/>
      <c r="AI103" s="228"/>
      <c r="AJ103" s="228"/>
      <c r="AK103" s="228"/>
      <c r="AL103" s="228"/>
      <c r="AM103" s="228"/>
      <c r="AN103" s="228"/>
      <c r="AO103" s="228"/>
      <c r="AP103" s="228"/>
      <c r="AQ103" s="228"/>
      <c r="AR103" s="228"/>
      <c r="AS103" s="228"/>
      <c r="AT103" s="228"/>
      <c r="AU103" s="228"/>
      <c r="AV103" s="228"/>
      <c r="AW103" s="228"/>
    </row>
    <row r="104" spans="1:49" s="226" customFormat="1" ht="14" x14ac:dyDescent="0.15">
      <c r="A104" s="228"/>
      <c r="B104" s="228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8"/>
      <c r="AQ104" s="228"/>
      <c r="AR104" s="228"/>
      <c r="AS104" s="228"/>
      <c r="AT104" s="228"/>
      <c r="AU104" s="228"/>
      <c r="AV104" s="228"/>
      <c r="AW104" s="228"/>
    </row>
    <row r="105" spans="1:49" s="226" customFormat="1" ht="14" x14ac:dyDescent="0.15">
      <c r="A105" s="228"/>
      <c r="B105" s="228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</row>
    <row r="106" spans="1:49" s="226" customFormat="1" ht="14" x14ac:dyDescent="0.15">
      <c r="A106" s="228"/>
      <c r="B106" s="228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</row>
    <row r="107" spans="1:49" s="226" customFormat="1" ht="14" x14ac:dyDescent="0.15">
      <c r="A107" s="228"/>
      <c r="B107" s="228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</row>
    <row r="108" spans="1:49" s="226" customFormat="1" ht="14" x14ac:dyDescent="0.15">
      <c r="A108" s="228"/>
      <c r="B108" s="228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</row>
    <row r="109" spans="1:49" s="226" customFormat="1" ht="14" x14ac:dyDescent="0.15">
      <c r="A109" s="228"/>
      <c r="B109" s="228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28"/>
      <c r="AH109" s="228"/>
      <c r="AI109" s="228"/>
      <c r="AJ109" s="228"/>
      <c r="AK109" s="228"/>
      <c r="AL109" s="228"/>
      <c r="AM109" s="228"/>
      <c r="AN109" s="228"/>
      <c r="AO109" s="228"/>
      <c r="AP109" s="228"/>
      <c r="AQ109" s="228"/>
      <c r="AR109" s="228"/>
      <c r="AS109" s="228"/>
      <c r="AT109" s="228"/>
      <c r="AU109" s="228"/>
      <c r="AV109" s="228"/>
      <c r="AW109" s="228"/>
    </row>
    <row r="110" spans="1:49" s="226" customFormat="1" ht="14" x14ac:dyDescent="0.15">
      <c r="A110" s="228"/>
      <c r="B110" s="228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</row>
    <row r="111" spans="1:49" s="226" customFormat="1" ht="14" x14ac:dyDescent="0.15">
      <c r="A111" s="228"/>
      <c r="B111" s="228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  <c r="AG111" s="228"/>
      <c r="AH111" s="228"/>
      <c r="AI111" s="228"/>
      <c r="AJ111" s="228"/>
      <c r="AK111" s="228"/>
      <c r="AL111" s="228"/>
      <c r="AM111" s="228"/>
      <c r="AN111" s="228"/>
      <c r="AO111" s="228"/>
      <c r="AP111" s="228"/>
      <c r="AQ111" s="228"/>
      <c r="AR111" s="228"/>
      <c r="AS111" s="228"/>
      <c r="AT111" s="228"/>
      <c r="AU111" s="228"/>
      <c r="AV111" s="228"/>
      <c r="AW111" s="228"/>
    </row>
    <row r="112" spans="1:49" s="226" customFormat="1" ht="14" x14ac:dyDescent="0.15">
      <c r="A112" s="228"/>
      <c r="B112" s="228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28"/>
      <c r="AH112" s="228"/>
      <c r="AI112" s="228"/>
      <c r="AJ112" s="228"/>
      <c r="AK112" s="228"/>
      <c r="AL112" s="228"/>
      <c r="AM112" s="228"/>
      <c r="AN112" s="228"/>
      <c r="AO112" s="228"/>
      <c r="AP112" s="228"/>
      <c r="AQ112" s="228"/>
      <c r="AR112" s="228"/>
      <c r="AS112" s="228"/>
      <c r="AT112" s="228"/>
      <c r="AU112" s="228"/>
      <c r="AV112" s="228"/>
      <c r="AW112" s="228"/>
    </row>
    <row r="113" spans="1:49" s="226" customFormat="1" ht="14" x14ac:dyDescent="0.15">
      <c r="A113" s="228"/>
      <c r="B113" s="228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28"/>
      <c r="AR113" s="228"/>
      <c r="AS113" s="228"/>
      <c r="AT113" s="228"/>
      <c r="AU113" s="228"/>
      <c r="AV113" s="228"/>
      <c r="AW113" s="228"/>
    </row>
    <row r="114" spans="1:49" s="226" customFormat="1" ht="14" x14ac:dyDescent="0.15">
      <c r="A114" s="228"/>
      <c r="B114" s="228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8"/>
      <c r="AL114" s="228"/>
      <c r="AM114" s="228"/>
      <c r="AN114" s="228"/>
      <c r="AO114" s="228"/>
      <c r="AP114" s="228"/>
      <c r="AQ114" s="228"/>
      <c r="AR114" s="228"/>
      <c r="AS114" s="228"/>
      <c r="AT114" s="228"/>
      <c r="AU114" s="228"/>
      <c r="AV114" s="228"/>
      <c r="AW114" s="228"/>
    </row>
    <row r="115" spans="1:49" s="226" customFormat="1" ht="14" x14ac:dyDescent="0.15">
      <c r="A115" s="228"/>
      <c r="B115" s="228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</row>
    <row r="116" spans="1:49" s="226" customFormat="1" ht="14" x14ac:dyDescent="0.15">
      <c r="A116" s="228"/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</row>
    <row r="117" spans="1:49" s="226" customFormat="1" ht="14" x14ac:dyDescent="0.15">
      <c r="A117" s="228"/>
      <c r="B117" s="228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</row>
    <row r="118" spans="1:49" s="226" customFormat="1" ht="14" x14ac:dyDescent="0.15">
      <c r="A118" s="228"/>
      <c r="B118" s="228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</row>
    <row r="119" spans="1:49" s="226" customFormat="1" ht="14" x14ac:dyDescent="0.15">
      <c r="A119" s="228"/>
      <c r="B119" s="228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</row>
    <row r="120" spans="1:49" s="226" customFormat="1" ht="14" x14ac:dyDescent="0.15">
      <c r="A120" s="228"/>
      <c r="B120" s="228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</row>
    <row r="121" spans="1:49" s="226" customFormat="1" ht="14" x14ac:dyDescent="0.15">
      <c r="A121" s="228"/>
      <c r="B121" s="228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</row>
    <row r="122" spans="1:49" s="226" customFormat="1" ht="14" x14ac:dyDescent="0.15">
      <c r="A122" s="228"/>
      <c r="B122" s="228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</row>
    <row r="123" spans="1:49" s="226" customFormat="1" ht="14" x14ac:dyDescent="0.15">
      <c r="A123" s="228"/>
      <c r="B123" s="228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</row>
    <row r="124" spans="1:49" s="226" customFormat="1" ht="14" x14ac:dyDescent="0.15">
      <c r="A124" s="228"/>
      <c r="B124" s="228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  <c r="AK124" s="228"/>
      <c r="AL124" s="228"/>
      <c r="AM124" s="228"/>
      <c r="AN124" s="228"/>
      <c r="AO124" s="228"/>
      <c r="AP124" s="228"/>
      <c r="AQ124" s="228"/>
      <c r="AR124" s="228"/>
      <c r="AS124" s="228"/>
      <c r="AT124" s="228"/>
      <c r="AU124" s="228"/>
      <c r="AV124" s="228"/>
      <c r="AW124" s="228"/>
    </row>
    <row r="125" spans="1:49" s="226" customFormat="1" ht="14" x14ac:dyDescent="0.15">
      <c r="A125" s="228"/>
      <c r="B125" s="228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228"/>
      <c r="AJ125" s="228"/>
      <c r="AK125" s="228"/>
      <c r="AL125" s="228"/>
      <c r="AM125" s="228"/>
      <c r="AN125" s="228"/>
      <c r="AO125" s="228"/>
      <c r="AP125" s="228"/>
      <c r="AQ125" s="228"/>
      <c r="AR125" s="228"/>
      <c r="AS125" s="228"/>
      <c r="AT125" s="228"/>
      <c r="AU125" s="228"/>
      <c r="AV125" s="228"/>
      <c r="AW125" s="228"/>
    </row>
    <row r="126" spans="1:49" s="226" customFormat="1" ht="14" x14ac:dyDescent="0.15">
      <c r="A126" s="228"/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  <c r="AJ126" s="228"/>
      <c r="AK126" s="228"/>
      <c r="AL126" s="228"/>
      <c r="AM126" s="228"/>
      <c r="AN126" s="228"/>
      <c r="AO126" s="228"/>
      <c r="AP126" s="228"/>
      <c r="AQ126" s="228"/>
      <c r="AR126" s="228"/>
      <c r="AS126" s="228"/>
      <c r="AT126" s="228"/>
      <c r="AU126" s="228"/>
      <c r="AV126" s="228"/>
      <c r="AW126" s="228"/>
    </row>
    <row r="127" spans="1:49" s="226" customFormat="1" ht="14" x14ac:dyDescent="0.15">
      <c r="A127" s="228"/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28"/>
      <c r="AH127" s="228"/>
      <c r="AI127" s="228"/>
      <c r="AJ127" s="228"/>
      <c r="AK127" s="228"/>
      <c r="AL127" s="228"/>
      <c r="AM127" s="228"/>
      <c r="AN127" s="228"/>
      <c r="AO127" s="228"/>
      <c r="AP127" s="228"/>
      <c r="AQ127" s="228"/>
      <c r="AR127" s="228"/>
      <c r="AS127" s="228"/>
      <c r="AT127" s="228"/>
      <c r="AU127" s="228"/>
      <c r="AV127" s="228"/>
      <c r="AW127" s="228"/>
    </row>
    <row r="128" spans="1:49" s="226" customFormat="1" ht="14" x14ac:dyDescent="0.15">
      <c r="A128" s="228"/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AV128" s="228"/>
      <c r="AW128" s="228"/>
    </row>
    <row r="129" spans="1:49" s="226" customFormat="1" ht="14" x14ac:dyDescent="0.15">
      <c r="A129" s="228"/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28"/>
      <c r="AH129" s="228"/>
      <c r="AI129" s="228"/>
      <c r="AJ129" s="228"/>
      <c r="AK129" s="228"/>
      <c r="AL129" s="228"/>
      <c r="AM129" s="228"/>
      <c r="AN129" s="228"/>
      <c r="AO129" s="228"/>
      <c r="AP129" s="228"/>
      <c r="AQ129" s="228"/>
      <c r="AR129" s="228"/>
      <c r="AS129" s="228"/>
      <c r="AT129" s="228"/>
      <c r="AU129" s="228"/>
      <c r="AV129" s="228"/>
      <c r="AW129" s="228"/>
    </row>
    <row r="130" spans="1:49" s="226" customFormat="1" ht="14" x14ac:dyDescent="0.15">
      <c r="A130" s="228"/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28"/>
      <c r="AH130" s="228"/>
      <c r="AI130" s="228"/>
      <c r="AJ130" s="228"/>
      <c r="AK130" s="228"/>
      <c r="AL130" s="228"/>
      <c r="AM130" s="228"/>
      <c r="AN130" s="228"/>
      <c r="AO130" s="228"/>
      <c r="AP130" s="228"/>
      <c r="AQ130" s="228"/>
      <c r="AR130" s="228"/>
      <c r="AS130" s="228"/>
      <c r="AT130" s="228"/>
      <c r="AU130" s="228"/>
      <c r="AV130" s="228"/>
      <c r="AW130" s="228"/>
    </row>
    <row r="131" spans="1:49" s="226" customFormat="1" ht="14" x14ac:dyDescent="0.15">
      <c r="A131" s="228"/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8"/>
      <c r="AL131" s="228"/>
      <c r="AM131" s="228"/>
      <c r="AN131" s="228"/>
      <c r="AO131" s="228"/>
      <c r="AP131" s="228"/>
      <c r="AQ131" s="228"/>
      <c r="AR131" s="228"/>
      <c r="AS131" s="228"/>
      <c r="AT131" s="228"/>
      <c r="AU131" s="228"/>
      <c r="AV131" s="228"/>
      <c r="AW131" s="228"/>
    </row>
    <row r="132" spans="1:49" s="226" customFormat="1" ht="14" x14ac:dyDescent="0.15">
      <c r="A132" s="228"/>
      <c r="B132" s="228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8"/>
      <c r="AQ132" s="228"/>
      <c r="AR132" s="228"/>
      <c r="AS132" s="228"/>
      <c r="AT132" s="228"/>
      <c r="AU132" s="228"/>
      <c r="AV132" s="228"/>
      <c r="AW132" s="228"/>
    </row>
    <row r="133" spans="1:49" s="226" customFormat="1" ht="14" x14ac:dyDescent="0.15">
      <c r="A133" s="228"/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28"/>
      <c r="AW133" s="228"/>
    </row>
    <row r="134" spans="1:49" s="226" customFormat="1" ht="14" x14ac:dyDescent="0.15">
      <c r="A134" s="228"/>
      <c r="B134" s="228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  <c r="AL134" s="228"/>
      <c r="AM134" s="228"/>
      <c r="AN134" s="228"/>
      <c r="AO134" s="228"/>
      <c r="AP134" s="228"/>
      <c r="AQ134" s="228"/>
      <c r="AR134" s="228"/>
      <c r="AS134" s="228"/>
      <c r="AT134" s="228"/>
      <c r="AU134" s="228"/>
      <c r="AV134" s="228"/>
      <c r="AW134" s="228"/>
    </row>
    <row r="135" spans="1:49" s="226" customFormat="1" ht="14" x14ac:dyDescent="0.15">
      <c r="A135" s="228"/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  <c r="AL135" s="228"/>
      <c r="AM135" s="228"/>
      <c r="AN135" s="228"/>
      <c r="AO135" s="228"/>
      <c r="AP135" s="228"/>
      <c r="AQ135" s="228"/>
      <c r="AR135" s="228"/>
      <c r="AS135" s="228"/>
      <c r="AT135" s="228"/>
      <c r="AU135" s="228"/>
      <c r="AV135" s="228"/>
      <c r="AW135" s="228"/>
    </row>
    <row r="136" spans="1:49" s="226" customFormat="1" ht="14" x14ac:dyDescent="0.15">
      <c r="A136" s="228"/>
      <c r="B136" s="228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  <c r="AL136" s="228"/>
      <c r="AM136" s="228"/>
      <c r="AN136" s="228"/>
      <c r="AO136" s="228"/>
      <c r="AP136" s="228"/>
      <c r="AQ136" s="228"/>
      <c r="AR136" s="228"/>
      <c r="AS136" s="228"/>
      <c r="AT136" s="228"/>
      <c r="AU136" s="228"/>
      <c r="AV136" s="228"/>
      <c r="AW136" s="228"/>
    </row>
    <row r="137" spans="1:49" s="226" customFormat="1" ht="14" x14ac:dyDescent="0.15">
      <c r="A137" s="228"/>
      <c r="B137" s="228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28"/>
      <c r="AP137" s="228"/>
      <c r="AQ137" s="228"/>
      <c r="AR137" s="228"/>
      <c r="AS137" s="228"/>
      <c r="AT137" s="228"/>
      <c r="AU137" s="228"/>
      <c r="AV137" s="228"/>
      <c r="AW137" s="228"/>
    </row>
    <row r="138" spans="1:49" s="226" customFormat="1" ht="14" x14ac:dyDescent="0.15">
      <c r="A138" s="228"/>
      <c r="B138" s="228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8"/>
      <c r="AQ138" s="228"/>
      <c r="AR138" s="228"/>
      <c r="AS138" s="228"/>
      <c r="AT138" s="228"/>
      <c r="AU138" s="228"/>
      <c r="AV138" s="228"/>
      <c r="AW138" s="228"/>
    </row>
    <row r="139" spans="1:49" s="226" customFormat="1" ht="14" x14ac:dyDescent="0.15">
      <c r="A139" s="228"/>
      <c r="B139" s="228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28"/>
      <c r="AP139" s="228"/>
      <c r="AQ139" s="228"/>
      <c r="AR139" s="228"/>
      <c r="AS139" s="228"/>
      <c r="AT139" s="228"/>
      <c r="AU139" s="228"/>
      <c r="AV139" s="228"/>
      <c r="AW139" s="228"/>
    </row>
    <row r="140" spans="1:49" s="226" customFormat="1" ht="14" x14ac:dyDescent="0.15">
      <c r="A140" s="228"/>
      <c r="B140" s="228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  <c r="AL140" s="228"/>
      <c r="AM140" s="228"/>
      <c r="AN140" s="228"/>
      <c r="AO140" s="228"/>
      <c r="AP140" s="228"/>
      <c r="AQ140" s="228"/>
      <c r="AR140" s="228"/>
      <c r="AS140" s="228"/>
      <c r="AT140" s="228"/>
      <c r="AU140" s="228"/>
      <c r="AV140" s="228"/>
      <c r="AW140" s="228"/>
    </row>
    <row r="141" spans="1:49" s="226" customFormat="1" ht="14" x14ac:dyDescent="0.15">
      <c r="A141" s="228"/>
      <c r="B141" s="228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8"/>
      <c r="AL141" s="228"/>
      <c r="AM141" s="228"/>
      <c r="AN141" s="228"/>
      <c r="AO141" s="228"/>
      <c r="AP141" s="228"/>
      <c r="AQ141" s="228"/>
      <c r="AR141" s="228"/>
      <c r="AS141" s="228"/>
      <c r="AT141" s="228"/>
      <c r="AU141" s="228"/>
      <c r="AV141" s="228"/>
      <c r="AW141" s="228"/>
    </row>
    <row r="142" spans="1:49" s="226" customFormat="1" ht="14" x14ac:dyDescent="0.15">
      <c r="A142" s="228"/>
      <c r="B142" s="228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</row>
    <row r="143" spans="1:49" s="226" customFormat="1" ht="14" x14ac:dyDescent="0.15">
      <c r="A143" s="228"/>
      <c r="B143" s="228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228"/>
      <c r="AM143" s="228"/>
      <c r="AN143" s="228"/>
      <c r="AO143" s="228"/>
      <c r="AP143" s="228"/>
      <c r="AQ143" s="228"/>
      <c r="AR143" s="228"/>
      <c r="AS143" s="228"/>
      <c r="AT143" s="228"/>
      <c r="AU143" s="228"/>
      <c r="AV143" s="228"/>
      <c r="AW143" s="228"/>
    </row>
    <row r="144" spans="1:49" s="226" customFormat="1" ht="14" x14ac:dyDescent="0.15">
      <c r="A144" s="228"/>
      <c r="B144" s="228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  <c r="AK144" s="228"/>
      <c r="AL144" s="228"/>
      <c r="AM144" s="228"/>
      <c r="AN144" s="228"/>
      <c r="AO144" s="228"/>
      <c r="AP144" s="228"/>
      <c r="AQ144" s="228"/>
      <c r="AR144" s="228"/>
      <c r="AS144" s="228"/>
      <c r="AT144" s="228"/>
      <c r="AU144" s="228"/>
      <c r="AV144" s="228"/>
      <c r="AW144" s="228"/>
    </row>
    <row r="145" spans="1:49" s="226" customFormat="1" ht="14" x14ac:dyDescent="0.15">
      <c r="A145" s="228"/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  <c r="AK145" s="228"/>
      <c r="AL145" s="228"/>
      <c r="AM145" s="228"/>
      <c r="AN145" s="228"/>
      <c r="AO145" s="228"/>
      <c r="AP145" s="228"/>
      <c r="AQ145" s="228"/>
      <c r="AR145" s="228"/>
      <c r="AS145" s="228"/>
      <c r="AT145" s="228"/>
      <c r="AU145" s="228"/>
      <c r="AV145" s="228"/>
      <c r="AW145" s="228"/>
    </row>
    <row r="146" spans="1:49" s="226" customFormat="1" ht="14" x14ac:dyDescent="0.15">
      <c r="A146" s="228"/>
      <c r="B146" s="228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8"/>
      <c r="AK146" s="228"/>
      <c r="AL146" s="228"/>
      <c r="AM146" s="228"/>
      <c r="AN146" s="228"/>
      <c r="AO146" s="228"/>
      <c r="AP146" s="228"/>
      <c r="AQ146" s="228"/>
      <c r="AR146" s="228"/>
      <c r="AS146" s="228"/>
      <c r="AT146" s="228"/>
      <c r="AU146" s="228"/>
      <c r="AV146" s="228"/>
      <c r="AW146" s="228"/>
    </row>
    <row r="147" spans="1:49" s="226" customFormat="1" ht="14" x14ac:dyDescent="0.15">
      <c r="A147" s="228"/>
      <c r="B147" s="228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8"/>
      <c r="AL147" s="228"/>
      <c r="AM147" s="228"/>
      <c r="AN147" s="228"/>
      <c r="AO147" s="228"/>
      <c r="AP147" s="228"/>
      <c r="AQ147" s="228"/>
      <c r="AR147" s="228"/>
      <c r="AS147" s="228"/>
      <c r="AT147" s="228"/>
      <c r="AU147" s="228"/>
      <c r="AV147" s="228"/>
      <c r="AW147" s="228"/>
    </row>
    <row r="148" spans="1:49" s="226" customFormat="1" ht="14" x14ac:dyDescent="0.15">
      <c r="A148" s="228"/>
      <c r="B148" s="228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8"/>
      <c r="AK148" s="228"/>
      <c r="AL148" s="228"/>
      <c r="AM148" s="228"/>
      <c r="AN148" s="228"/>
      <c r="AO148" s="228"/>
      <c r="AP148" s="228"/>
      <c r="AQ148" s="228"/>
      <c r="AR148" s="228"/>
      <c r="AS148" s="228"/>
      <c r="AT148" s="228"/>
      <c r="AU148" s="228"/>
      <c r="AV148" s="228"/>
      <c r="AW148" s="228"/>
    </row>
    <row r="149" spans="1:49" s="226" customFormat="1" ht="14" x14ac:dyDescent="0.15">
      <c r="A149" s="228"/>
      <c r="B149" s="228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8"/>
      <c r="AL149" s="228"/>
      <c r="AM149" s="228"/>
      <c r="AN149" s="228"/>
      <c r="AO149" s="228"/>
      <c r="AP149" s="228"/>
      <c r="AQ149" s="228"/>
      <c r="AR149" s="228"/>
      <c r="AS149" s="228"/>
      <c r="AT149" s="228"/>
      <c r="AU149" s="228"/>
      <c r="AV149" s="228"/>
      <c r="AW149" s="228"/>
    </row>
    <row r="150" spans="1:49" s="226" customFormat="1" ht="14" x14ac:dyDescent="0.15">
      <c r="A150" s="228"/>
      <c r="B150" s="228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8"/>
      <c r="AL150" s="228"/>
      <c r="AM150" s="228"/>
      <c r="AN150" s="228"/>
      <c r="AO150" s="228"/>
      <c r="AP150" s="228"/>
      <c r="AQ150" s="228"/>
      <c r="AR150" s="228"/>
      <c r="AS150" s="228"/>
      <c r="AT150" s="228"/>
      <c r="AU150" s="228"/>
      <c r="AV150" s="228"/>
      <c r="AW150" s="228"/>
    </row>
    <row r="151" spans="1:49" s="226" customFormat="1" ht="14" x14ac:dyDescent="0.15">
      <c r="A151" s="228"/>
      <c r="B151" s="228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  <c r="AK151" s="228"/>
      <c r="AL151" s="228"/>
      <c r="AM151" s="228"/>
      <c r="AN151" s="228"/>
      <c r="AO151" s="228"/>
      <c r="AP151" s="228"/>
      <c r="AQ151" s="228"/>
      <c r="AR151" s="228"/>
      <c r="AS151" s="228"/>
      <c r="AT151" s="228"/>
      <c r="AU151" s="228"/>
      <c r="AV151" s="228"/>
      <c r="AW151" s="228"/>
    </row>
    <row r="152" spans="1:49" s="226" customFormat="1" ht="14" x14ac:dyDescent="0.15">
      <c r="A152" s="228"/>
      <c r="B152" s="228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/>
      <c r="AU152" s="228"/>
      <c r="AV152" s="228"/>
      <c r="AW152" s="228"/>
    </row>
    <row r="153" spans="1:49" s="226" customFormat="1" ht="14" x14ac:dyDescent="0.15">
      <c r="A153" s="228"/>
      <c r="B153" s="228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  <c r="AL153" s="228"/>
      <c r="AM153" s="228"/>
      <c r="AN153" s="228"/>
      <c r="AO153" s="228"/>
      <c r="AP153" s="228"/>
      <c r="AQ153" s="228"/>
      <c r="AR153" s="228"/>
      <c r="AS153" s="228"/>
      <c r="AT153" s="228"/>
      <c r="AU153" s="228"/>
      <c r="AV153" s="228"/>
      <c r="AW153" s="228"/>
    </row>
    <row r="154" spans="1:49" s="226" customFormat="1" ht="14" x14ac:dyDescent="0.15">
      <c r="A154" s="228"/>
      <c r="B154" s="228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  <c r="AK154" s="228"/>
      <c r="AL154" s="228"/>
      <c r="AM154" s="228"/>
      <c r="AN154" s="228"/>
      <c r="AO154" s="228"/>
      <c r="AP154" s="228"/>
      <c r="AQ154" s="228"/>
      <c r="AR154" s="228"/>
      <c r="AS154" s="228"/>
      <c r="AT154" s="228"/>
      <c r="AU154" s="228"/>
      <c r="AV154" s="228"/>
      <c r="AW154" s="228"/>
    </row>
    <row r="155" spans="1:49" s="226" customFormat="1" ht="14" x14ac:dyDescent="0.15">
      <c r="A155" s="228"/>
      <c r="B155" s="228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</row>
    <row r="156" spans="1:49" s="226" customFormat="1" ht="14" x14ac:dyDescent="0.15">
      <c r="A156" s="228"/>
      <c r="B156" s="228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8"/>
      <c r="AF156" s="228"/>
      <c r="AG156" s="228"/>
      <c r="AH156" s="228"/>
      <c r="AI156" s="228"/>
      <c r="AJ156" s="228"/>
      <c r="AK156" s="228"/>
      <c r="AL156" s="228"/>
      <c r="AM156" s="228"/>
      <c r="AN156" s="228"/>
      <c r="AO156" s="228"/>
      <c r="AP156" s="228"/>
      <c r="AQ156" s="228"/>
      <c r="AR156" s="228"/>
      <c r="AS156" s="228"/>
      <c r="AT156" s="228"/>
      <c r="AU156" s="228"/>
      <c r="AV156" s="228"/>
      <c r="AW156" s="228"/>
    </row>
    <row r="157" spans="1:49" s="226" customFormat="1" ht="14" x14ac:dyDescent="0.15">
      <c r="A157" s="228"/>
      <c r="B157" s="228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/>
      <c r="AM157" s="228"/>
      <c r="AN157" s="228"/>
      <c r="AO157" s="228"/>
      <c r="AP157" s="228"/>
      <c r="AQ157" s="228"/>
      <c r="AR157" s="228"/>
      <c r="AS157" s="228"/>
      <c r="AT157" s="228"/>
      <c r="AU157" s="228"/>
      <c r="AV157" s="228"/>
      <c r="AW157" s="228"/>
    </row>
    <row r="158" spans="1:49" s="226" customFormat="1" ht="14" x14ac:dyDescent="0.15">
      <c r="A158" s="228"/>
      <c r="B158" s="228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/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228"/>
      <c r="AO158" s="228"/>
      <c r="AP158" s="228"/>
      <c r="AQ158" s="228"/>
      <c r="AR158" s="228"/>
      <c r="AS158" s="228"/>
      <c r="AT158" s="228"/>
      <c r="AU158" s="228"/>
      <c r="AV158" s="228"/>
      <c r="AW158" s="228"/>
    </row>
    <row r="159" spans="1:49" s="226" customFormat="1" ht="14" x14ac:dyDescent="0.15">
      <c r="A159" s="228"/>
      <c r="B159" s="228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  <c r="AG159" s="228"/>
      <c r="AH159" s="228"/>
      <c r="AI159" s="228"/>
      <c r="AJ159" s="228"/>
      <c r="AK159" s="228"/>
      <c r="AL159" s="228"/>
      <c r="AM159" s="228"/>
      <c r="AN159" s="228"/>
      <c r="AO159" s="228"/>
      <c r="AP159" s="228"/>
      <c r="AQ159" s="228"/>
      <c r="AR159" s="228"/>
      <c r="AS159" s="228"/>
      <c r="AT159" s="228"/>
      <c r="AU159" s="228"/>
      <c r="AV159" s="228"/>
      <c r="AW159" s="228"/>
    </row>
    <row r="160" spans="1:49" s="226" customFormat="1" ht="14" x14ac:dyDescent="0.15">
      <c r="A160" s="228"/>
      <c r="B160" s="228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F160" s="228"/>
      <c r="AG160" s="228"/>
      <c r="AH160" s="228"/>
      <c r="AI160" s="228"/>
      <c r="AJ160" s="228"/>
      <c r="AK160" s="228"/>
      <c r="AL160" s="228"/>
      <c r="AM160" s="228"/>
      <c r="AN160" s="228"/>
      <c r="AO160" s="228"/>
      <c r="AP160" s="228"/>
      <c r="AQ160" s="228"/>
      <c r="AR160" s="228"/>
      <c r="AS160" s="228"/>
      <c r="AT160" s="228"/>
      <c r="AU160" s="228"/>
      <c r="AV160" s="228"/>
      <c r="AW160" s="228"/>
    </row>
    <row r="161" spans="1:49" s="226" customFormat="1" ht="14" x14ac:dyDescent="0.15">
      <c r="A161" s="228"/>
      <c r="B161" s="228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F161" s="228"/>
      <c r="AG161" s="228"/>
      <c r="AH161" s="228"/>
      <c r="AI161" s="228"/>
      <c r="AJ161" s="228"/>
      <c r="AK161" s="228"/>
      <c r="AL161" s="228"/>
      <c r="AM161" s="228"/>
      <c r="AN161" s="228"/>
      <c r="AO161" s="228"/>
      <c r="AP161" s="228"/>
      <c r="AQ161" s="228"/>
      <c r="AR161" s="228"/>
      <c r="AS161" s="228"/>
      <c r="AT161" s="228"/>
      <c r="AU161" s="228"/>
      <c r="AV161" s="228"/>
      <c r="AW161" s="228"/>
    </row>
    <row r="162" spans="1:49" s="226" customFormat="1" ht="14" x14ac:dyDescent="0.15">
      <c r="A162" s="228"/>
      <c r="B162" s="228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  <c r="AG162" s="228"/>
      <c r="AH162" s="228"/>
      <c r="AI162" s="228"/>
      <c r="AJ162" s="228"/>
      <c r="AK162" s="228"/>
      <c r="AL162" s="228"/>
      <c r="AM162" s="228"/>
      <c r="AN162" s="228"/>
      <c r="AO162" s="228"/>
      <c r="AP162" s="228"/>
      <c r="AQ162" s="228"/>
      <c r="AR162" s="228"/>
      <c r="AS162" s="228"/>
      <c r="AT162" s="228"/>
      <c r="AU162" s="228"/>
      <c r="AV162" s="228"/>
      <c r="AW162" s="228"/>
    </row>
    <row r="163" spans="1:49" s="226" customFormat="1" ht="14" x14ac:dyDescent="0.15">
      <c r="A163" s="228"/>
      <c r="B163" s="228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  <c r="AG163" s="228"/>
      <c r="AH163" s="228"/>
      <c r="AI163" s="228"/>
      <c r="AJ163" s="228"/>
      <c r="AK163" s="228"/>
      <c r="AL163" s="228"/>
      <c r="AM163" s="228"/>
      <c r="AN163" s="228"/>
      <c r="AO163" s="228"/>
      <c r="AP163" s="228"/>
      <c r="AQ163" s="228"/>
      <c r="AR163" s="228"/>
      <c r="AS163" s="228"/>
      <c r="AT163" s="228"/>
      <c r="AU163" s="228"/>
      <c r="AV163" s="228"/>
      <c r="AW163" s="228"/>
    </row>
    <row r="164" spans="1:49" s="226" customFormat="1" ht="14" x14ac:dyDescent="0.15">
      <c r="A164" s="228"/>
      <c r="B164" s="228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  <c r="AG164" s="228"/>
      <c r="AH164" s="228"/>
      <c r="AI164" s="228"/>
      <c r="AJ164" s="228"/>
      <c r="AK164" s="228"/>
      <c r="AL164" s="228"/>
      <c r="AM164" s="228"/>
      <c r="AN164" s="228"/>
      <c r="AO164" s="228"/>
      <c r="AP164" s="228"/>
      <c r="AQ164" s="228"/>
      <c r="AR164" s="228"/>
      <c r="AS164" s="228"/>
      <c r="AT164" s="228"/>
      <c r="AU164" s="228"/>
      <c r="AV164" s="228"/>
      <c r="AW164" s="228"/>
    </row>
    <row r="165" spans="1:49" s="226" customFormat="1" ht="14" x14ac:dyDescent="0.15">
      <c r="A165" s="228"/>
      <c r="B165" s="228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F165" s="228"/>
      <c r="AG165" s="228"/>
      <c r="AH165" s="228"/>
      <c r="AI165" s="228"/>
      <c r="AJ165" s="228"/>
      <c r="AK165" s="228"/>
      <c r="AL165" s="228"/>
      <c r="AM165" s="228"/>
      <c r="AN165" s="228"/>
      <c r="AO165" s="228"/>
      <c r="AP165" s="228"/>
      <c r="AQ165" s="228"/>
      <c r="AR165" s="228"/>
      <c r="AS165" s="228"/>
      <c r="AT165" s="228"/>
      <c r="AU165" s="228"/>
      <c r="AV165" s="228"/>
      <c r="AW165" s="228"/>
    </row>
    <row r="166" spans="1:49" s="226" customFormat="1" ht="14" x14ac:dyDescent="0.15">
      <c r="A166" s="228"/>
      <c r="B166" s="228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  <c r="AA166" s="228"/>
      <c r="AB166" s="228"/>
      <c r="AC166" s="228"/>
      <c r="AD166" s="228"/>
      <c r="AE166" s="228"/>
      <c r="AF166" s="228"/>
      <c r="AG166" s="228"/>
      <c r="AH166" s="228"/>
      <c r="AI166" s="228"/>
      <c r="AJ166" s="228"/>
      <c r="AK166" s="228"/>
      <c r="AL166" s="228"/>
      <c r="AM166" s="228"/>
      <c r="AN166" s="228"/>
      <c r="AO166" s="228"/>
      <c r="AP166" s="228"/>
      <c r="AQ166" s="228"/>
      <c r="AR166" s="228"/>
      <c r="AS166" s="228"/>
      <c r="AT166" s="228"/>
      <c r="AU166" s="228"/>
      <c r="AV166" s="228"/>
      <c r="AW166" s="228"/>
    </row>
    <row r="167" spans="1:49" s="226" customFormat="1" ht="14" x14ac:dyDescent="0.15">
      <c r="A167" s="228"/>
      <c r="B167" s="228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  <c r="AA167" s="228"/>
      <c r="AB167" s="228"/>
      <c r="AC167" s="228"/>
      <c r="AD167" s="228"/>
      <c r="AE167" s="228"/>
      <c r="AF167" s="228"/>
      <c r="AG167" s="228"/>
      <c r="AH167" s="228"/>
      <c r="AI167" s="228"/>
      <c r="AJ167" s="228"/>
      <c r="AK167" s="228"/>
      <c r="AL167" s="228"/>
      <c r="AM167" s="228"/>
      <c r="AN167" s="228"/>
      <c r="AO167" s="228"/>
      <c r="AP167" s="228"/>
      <c r="AQ167" s="228"/>
      <c r="AR167" s="228"/>
      <c r="AS167" s="228"/>
      <c r="AT167" s="228"/>
      <c r="AU167" s="228"/>
      <c r="AV167" s="228"/>
      <c r="AW167" s="228"/>
    </row>
    <row r="168" spans="1:49" s="226" customFormat="1" ht="14" x14ac:dyDescent="0.15">
      <c r="A168" s="228"/>
      <c r="B168" s="228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8"/>
      <c r="AF168" s="228"/>
      <c r="AG168" s="228"/>
      <c r="AH168" s="228"/>
      <c r="AI168" s="228"/>
      <c r="AJ168" s="228"/>
      <c r="AK168" s="228"/>
      <c r="AL168" s="228"/>
      <c r="AM168" s="228"/>
      <c r="AN168" s="228"/>
      <c r="AO168" s="228"/>
      <c r="AP168" s="228"/>
      <c r="AQ168" s="228"/>
      <c r="AR168" s="228"/>
      <c r="AS168" s="228"/>
      <c r="AT168" s="228"/>
      <c r="AU168" s="228"/>
      <c r="AV168" s="228"/>
      <c r="AW168" s="228"/>
    </row>
    <row r="169" spans="1:49" s="226" customFormat="1" ht="14" x14ac:dyDescent="0.15">
      <c r="A169" s="228"/>
      <c r="B169" s="228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28"/>
      <c r="AL169" s="228"/>
      <c r="AM169" s="228"/>
      <c r="AN169" s="228"/>
      <c r="AO169" s="228"/>
      <c r="AP169" s="228"/>
      <c r="AQ169" s="228"/>
      <c r="AR169" s="228"/>
      <c r="AS169" s="228"/>
      <c r="AT169" s="228"/>
      <c r="AU169" s="228"/>
      <c r="AV169" s="228"/>
      <c r="AW169" s="228"/>
    </row>
    <row r="170" spans="1:49" s="226" customFormat="1" ht="14" x14ac:dyDescent="0.15">
      <c r="A170" s="228"/>
      <c r="B170" s="228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  <c r="AA170" s="228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28"/>
      <c r="AL170" s="228"/>
      <c r="AM170" s="228"/>
      <c r="AN170" s="228"/>
      <c r="AO170" s="228"/>
      <c r="AP170" s="228"/>
      <c r="AQ170" s="228"/>
      <c r="AR170" s="228"/>
      <c r="AS170" s="228"/>
      <c r="AT170" s="228"/>
      <c r="AU170" s="228"/>
      <c r="AV170" s="228"/>
      <c r="AW170" s="228"/>
    </row>
    <row r="171" spans="1:49" s="226" customFormat="1" ht="14" x14ac:dyDescent="0.15">
      <c r="A171" s="228"/>
      <c r="B171" s="228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</row>
    <row r="172" spans="1:49" s="226" customFormat="1" ht="14" x14ac:dyDescent="0.15">
      <c r="A172" s="228"/>
      <c r="B172" s="228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</row>
    <row r="173" spans="1:49" s="226" customFormat="1" ht="14" x14ac:dyDescent="0.15">
      <c r="A173" s="228"/>
      <c r="B173" s="228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</row>
    <row r="174" spans="1:49" s="226" customFormat="1" ht="14" x14ac:dyDescent="0.15">
      <c r="A174" s="228"/>
      <c r="B174" s="228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</row>
    <row r="175" spans="1:49" s="226" customFormat="1" ht="14" x14ac:dyDescent="0.15">
      <c r="A175" s="228"/>
      <c r="B175" s="228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</row>
    <row r="176" spans="1:49" s="226" customFormat="1" ht="14" x14ac:dyDescent="0.15">
      <c r="A176" s="228"/>
      <c r="B176" s="228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</row>
    <row r="177" spans="1:49" s="226" customFormat="1" ht="14" x14ac:dyDescent="0.15">
      <c r="A177" s="228"/>
      <c r="B177" s="228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</row>
    <row r="178" spans="1:49" s="226" customFormat="1" ht="14" x14ac:dyDescent="0.15">
      <c r="A178" s="228"/>
      <c r="B178" s="228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  <c r="AL178" s="228"/>
      <c r="AM178" s="228"/>
      <c r="AN178" s="228"/>
      <c r="AO178" s="228"/>
      <c r="AP178" s="228"/>
      <c r="AQ178" s="228"/>
      <c r="AR178" s="228"/>
      <c r="AS178" s="228"/>
      <c r="AT178" s="228"/>
      <c r="AU178" s="228"/>
      <c r="AV178" s="228"/>
      <c r="AW178" s="228"/>
    </row>
    <row r="179" spans="1:49" s="226" customFormat="1" ht="14" x14ac:dyDescent="0.15">
      <c r="A179" s="228"/>
      <c r="B179" s="228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28"/>
      <c r="AL179" s="228"/>
      <c r="AM179" s="228"/>
      <c r="AN179" s="228"/>
      <c r="AO179" s="228"/>
      <c r="AP179" s="228"/>
      <c r="AQ179" s="228"/>
      <c r="AR179" s="228"/>
      <c r="AS179" s="228"/>
      <c r="AT179" s="228"/>
      <c r="AU179" s="228"/>
      <c r="AV179" s="228"/>
      <c r="AW179" s="228"/>
    </row>
    <row r="180" spans="1:49" s="226" customFormat="1" ht="14" x14ac:dyDescent="0.15">
      <c r="A180" s="228"/>
      <c r="B180" s="228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  <c r="AA180" s="228"/>
      <c r="AB180" s="228"/>
      <c r="AC180" s="228"/>
      <c r="AD180" s="228"/>
      <c r="AE180" s="228"/>
      <c r="AF180" s="228"/>
      <c r="AG180" s="228"/>
      <c r="AH180" s="228"/>
      <c r="AI180" s="228"/>
      <c r="AJ180" s="228"/>
      <c r="AK180" s="228"/>
      <c r="AL180" s="228"/>
      <c r="AM180" s="228"/>
      <c r="AN180" s="228"/>
      <c r="AO180" s="228"/>
      <c r="AP180" s="228"/>
      <c r="AQ180" s="228"/>
      <c r="AR180" s="228"/>
      <c r="AS180" s="228"/>
      <c r="AT180" s="228"/>
      <c r="AU180" s="228"/>
      <c r="AV180" s="228"/>
      <c r="AW180" s="228"/>
    </row>
    <row r="181" spans="1:49" s="226" customFormat="1" ht="14" x14ac:dyDescent="0.15">
      <c r="A181" s="228"/>
      <c r="B181" s="228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  <c r="AK181" s="228"/>
      <c r="AL181" s="228"/>
      <c r="AM181" s="228"/>
      <c r="AN181" s="228"/>
      <c r="AO181" s="228"/>
      <c r="AP181" s="228"/>
      <c r="AQ181" s="228"/>
      <c r="AR181" s="228"/>
      <c r="AS181" s="228"/>
      <c r="AT181" s="228"/>
      <c r="AU181" s="228"/>
      <c r="AV181" s="228"/>
      <c r="AW181" s="228"/>
    </row>
    <row r="182" spans="1:49" s="226" customFormat="1" ht="14" x14ac:dyDescent="0.15">
      <c r="A182" s="228"/>
      <c r="B182" s="228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  <c r="AK182" s="228"/>
      <c r="AL182" s="228"/>
      <c r="AM182" s="228"/>
      <c r="AN182" s="228"/>
      <c r="AO182" s="228"/>
      <c r="AP182" s="228"/>
      <c r="AQ182" s="228"/>
      <c r="AR182" s="228"/>
      <c r="AS182" s="228"/>
      <c r="AT182" s="228"/>
      <c r="AU182" s="228"/>
      <c r="AV182" s="228"/>
      <c r="AW182" s="228"/>
    </row>
    <row r="183" spans="1:49" s="226" customFormat="1" ht="14" x14ac:dyDescent="0.15">
      <c r="A183" s="228"/>
      <c r="B183" s="228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8"/>
      <c r="AE183" s="228"/>
      <c r="AF183" s="228"/>
      <c r="AG183" s="228"/>
      <c r="AH183" s="228"/>
      <c r="AI183" s="228"/>
      <c r="AJ183" s="228"/>
      <c r="AK183" s="228"/>
      <c r="AL183" s="228"/>
      <c r="AM183" s="228"/>
      <c r="AN183" s="228"/>
      <c r="AO183" s="228"/>
      <c r="AP183" s="228"/>
      <c r="AQ183" s="228"/>
      <c r="AR183" s="228"/>
      <c r="AS183" s="228"/>
      <c r="AT183" s="228"/>
      <c r="AU183" s="228"/>
      <c r="AV183" s="228"/>
      <c r="AW183" s="228"/>
    </row>
    <row r="184" spans="1:49" s="226" customFormat="1" ht="14" x14ac:dyDescent="0.15">
      <c r="A184" s="228"/>
      <c r="B184" s="228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F184" s="228"/>
      <c r="AG184" s="228"/>
      <c r="AH184" s="228"/>
      <c r="AI184" s="228"/>
      <c r="AJ184" s="228"/>
      <c r="AK184" s="228"/>
      <c r="AL184" s="228"/>
      <c r="AM184" s="228"/>
      <c r="AN184" s="228"/>
      <c r="AO184" s="228"/>
      <c r="AP184" s="228"/>
      <c r="AQ184" s="228"/>
      <c r="AR184" s="228"/>
      <c r="AS184" s="228"/>
      <c r="AT184" s="228"/>
      <c r="AU184" s="228"/>
      <c r="AV184" s="228"/>
      <c r="AW184" s="228"/>
    </row>
    <row r="185" spans="1:49" s="226" customFormat="1" ht="14" x14ac:dyDescent="0.15">
      <c r="A185" s="228"/>
      <c r="B185" s="228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  <c r="AG185" s="228"/>
      <c r="AH185" s="228"/>
      <c r="AI185" s="228"/>
      <c r="AJ185" s="228"/>
      <c r="AK185" s="228"/>
      <c r="AL185" s="228"/>
      <c r="AM185" s="228"/>
      <c r="AN185" s="228"/>
      <c r="AO185" s="228"/>
      <c r="AP185" s="228"/>
      <c r="AQ185" s="228"/>
      <c r="AR185" s="228"/>
      <c r="AS185" s="228"/>
      <c r="AT185" s="228"/>
      <c r="AU185" s="228"/>
      <c r="AV185" s="228"/>
      <c r="AW185" s="228"/>
    </row>
    <row r="186" spans="1:49" s="226" customFormat="1" ht="14" x14ac:dyDescent="0.15">
      <c r="A186" s="228"/>
      <c r="B186" s="228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  <c r="AK186" s="228"/>
      <c r="AL186" s="228"/>
      <c r="AM186" s="228"/>
      <c r="AN186" s="228"/>
      <c r="AO186" s="228"/>
      <c r="AP186" s="228"/>
      <c r="AQ186" s="228"/>
      <c r="AR186" s="228"/>
      <c r="AS186" s="228"/>
      <c r="AT186" s="228"/>
      <c r="AU186" s="228"/>
      <c r="AV186" s="228"/>
      <c r="AW186" s="228"/>
    </row>
    <row r="187" spans="1:49" s="226" customFormat="1" ht="14" x14ac:dyDescent="0.15">
      <c r="A187" s="228"/>
      <c r="B187" s="228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  <c r="AK187" s="228"/>
      <c r="AL187" s="228"/>
      <c r="AM187" s="228"/>
      <c r="AN187" s="228"/>
      <c r="AO187" s="228"/>
      <c r="AP187" s="228"/>
      <c r="AQ187" s="228"/>
      <c r="AR187" s="228"/>
      <c r="AS187" s="228"/>
      <c r="AT187" s="228"/>
      <c r="AU187" s="228"/>
      <c r="AV187" s="228"/>
      <c r="AW187" s="228"/>
    </row>
    <row r="188" spans="1:49" s="226" customFormat="1" ht="14" x14ac:dyDescent="0.15">
      <c r="A188" s="228"/>
      <c r="B188" s="228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228"/>
      <c r="AM188" s="228"/>
      <c r="AN188" s="228"/>
      <c r="AO188" s="228"/>
      <c r="AP188" s="228"/>
      <c r="AQ188" s="228"/>
      <c r="AR188" s="228"/>
      <c r="AS188" s="228"/>
      <c r="AT188" s="228"/>
      <c r="AU188" s="228"/>
      <c r="AV188" s="228"/>
      <c r="AW188" s="228"/>
    </row>
    <row r="189" spans="1:49" s="226" customFormat="1" ht="14" x14ac:dyDescent="0.15">
      <c r="A189" s="228"/>
      <c r="B189" s="228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28"/>
      <c r="AH189" s="228"/>
      <c r="AI189" s="228"/>
      <c r="AJ189" s="228"/>
      <c r="AK189" s="228"/>
      <c r="AL189" s="228"/>
      <c r="AM189" s="228"/>
      <c r="AN189" s="228"/>
      <c r="AO189" s="228"/>
      <c r="AP189" s="228"/>
      <c r="AQ189" s="228"/>
      <c r="AR189" s="228"/>
      <c r="AS189" s="228"/>
      <c r="AT189" s="228"/>
      <c r="AU189" s="228"/>
      <c r="AV189" s="228"/>
      <c r="AW189" s="228"/>
    </row>
    <row r="190" spans="1:49" s="226" customFormat="1" ht="14" x14ac:dyDescent="0.15">
      <c r="A190" s="228"/>
      <c r="B190" s="228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</row>
    <row r="191" spans="1:49" s="226" customFormat="1" ht="14" x14ac:dyDescent="0.15">
      <c r="A191" s="228"/>
      <c r="B191" s="228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</row>
    <row r="192" spans="1:49" s="226" customFormat="1" ht="14" x14ac:dyDescent="0.15">
      <c r="A192" s="228"/>
      <c r="B192" s="228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  <c r="AK192" s="228"/>
      <c r="AL192" s="228"/>
      <c r="AM192" s="228"/>
      <c r="AN192" s="228"/>
      <c r="AO192" s="228"/>
      <c r="AP192" s="228"/>
      <c r="AQ192" s="228"/>
      <c r="AR192" s="228"/>
      <c r="AS192" s="228"/>
      <c r="AT192" s="228"/>
      <c r="AU192" s="228"/>
      <c r="AV192" s="228"/>
      <c r="AW192" s="228"/>
    </row>
    <row r="193" spans="1:49" s="226" customFormat="1" ht="14" x14ac:dyDescent="0.15">
      <c r="A193" s="228"/>
      <c r="B193" s="228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  <c r="AK193" s="228"/>
      <c r="AL193" s="228"/>
      <c r="AM193" s="228"/>
      <c r="AN193" s="228"/>
      <c r="AO193" s="228"/>
      <c r="AP193" s="228"/>
      <c r="AQ193" s="228"/>
      <c r="AR193" s="228"/>
      <c r="AS193" s="228"/>
      <c r="AT193" s="228"/>
      <c r="AU193" s="228"/>
      <c r="AV193" s="228"/>
      <c r="AW193" s="228"/>
    </row>
    <row r="194" spans="1:49" s="226" customFormat="1" ht="14" x14ac:dyDescent="0.15">
      <c r="A194" s="228"/>
      <c r="B194" s="228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  <c r="AK194" s="228"/>
      <c r="AL194" s="228"/>
      <c r="AM194" s="228"/>
      <c r="AN194" s="228"/>
      <c r="AO194" s="228"/>
      <c r="AP194" s="228"/>
      <c r="AQ194" s="228"/>
      <c r="AR194" s="228"/>
      <c r="AS194" s="228"/>
      <c r="AT194" s="228"/>
      <c r="AU194" s="228"/>
      <c r="AV194" s="228"/>
      <c r="AW194" s="228"/>
    </row>
    <row r="195" spans="1:49" s="226" customFormat="1" ht="14" x14ac:dyDescent="0.15">
      <c r="A195" s="228"/>
      <c r="B195" s="228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</row>
    <row r="196" spans="1:49" s="226" customFormat="1" ht="14" x14ac:dyDescent="0.15">
      <c r="A196" s="228"/>
      <c r="B196" s="228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  <c r="AK196" s="228"/>
      <c r="AL196" s="228"/>
      <c r="AM196" s="228"/>
      <c r="AN196" s="228"/>
      <c r="AO196" s="228"/>
      <c r="AP196" s="228"/>
      <c r="AQ196" s="228"/>
      <c r="AR196" s="228"/>
      <c r="AS196" s="228"/>
      <c r="AT196" s="228"/>
      <c r="AU196" s="228"/>
      <c r="AV196" s="228"/>
      <c r="AW196" s="228"/>
    </row>
    <row r="197" spans="1:49" s="226" customFormat="1" ht="14" x14ac:dyDescent="0.15">
      <c r="A197" s="228"/>
      <c r="B197" s="228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  <c r="AK197" s="228"/>
      <c r="AL197" s="228"/>
      <c r="AM197" s="228"/>
      <c r="AN197" s="228"/>
      <c r="AO197" s="228"/>
      <c r="AP197" s="228"/>
      <c r="AQ197" s="228"/>
      <c r="AR197" s="228"/>
      <c r="AS197" s="228"/>
      <c r="AT197" s="228"/>
      <c r="AU197" s="228"/>
      <c r="AV197" s="228"/>
      <c r="AW197" s="228"/>
    </row>
    <row r="198" spans="1:49" s="226" customFormat="1" ht="14" x14ac:dyDescent="0.15">
      <c r="A198" s="228"/>
      <c r="B198" s="228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  <c r="AK198" s="228"/>
      <c r="AL198" s="228"/>
      <c r="AM198" s="228"/>
      <c r="AN198" s="228"/>
      <c r="AO198" s="228"/>
      <c r="AP198" s="228"/>
      <c r="AQ198" s="228"/>
      <c r="AR198" s="228"/>
      <c r="AS198" s="228"/>
      <c r="AT198" s="228"/>
      <c r="AU198" s="228"/>
      <c r="AV198" s="228"/>
      <c r="AW198" s="228"/>
    </row>
    <row r="199" spans="1:49" s="226" customFormat="1" ht="14" x14ac:dyDescent="0.15">
      <c r="A199" s="228"/>
      <c r="B199" s="228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  <c r="AK199" s="228"/>
      <c r="AL199" s="228"/>
      <c r="AM199" s="228"/>
      <c r="AN199" s="228"/>
      <c r="AO199" s="228"/>
      <c r="AP199" s="228"/>
      <c r="AQ199" s="228"/>
      <c r="AR199" s="228"/>
      <c r="AS199" s="228"/>
      <c r="AT199" s="228"/>
      <c r="AU199" s="228"/>
      <c r="AV199" s="228"/>
      <c r="AW199" s="228"/>
    </row>
    <row r="200" spans="1:49" s="226" customFormat="1" ht="14" x14ac:dyDescent="0.15">
      <c r="A200" s="228"/>
      <c r="B200" s="228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  <c r="AK200" s="228"/>
      <c r="AL200" s="228"/>
      <c r="AM200" s="228"/>
      <c r="AN200" s="228"/>
      <c r="AO200" s="228"/>
      <c r="AP200" s="228"/>
      <c r="AQ200" s="228"/>
      <c r="AR200" s="228"/>
      <c r="AS200" s="228"/>
      <c r="AT200" s="228"/>
      <c r="AU200" s="228"/>
      <c r="AV200" s="228"/>
      <c r="AW200" s="228"/>
    </row>
    <row r="201" spans="1:49" s="226" customFormat="1" ht="14" x14ac:dyDescent="0.15">
      <c r="A201" s="228"/>
      <c r="B201" s="228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  <c r="AK201" s="228"/>
      <c r="AL201" s="228"/>
      <c r="AM201" s="228"/>
      <c r="AN201" s="228"/>
      <c r="AO201" s="228"/>
      <c r="AP201" s="228"/>
      <c r="AQ201" s="228"/>
      <c r="AR201" s="228"/>
      <c r="AS201" s="228"/>
      <c r="AT201" s="228"/>
      <c r="AU201" s="228"/>
      <c r="AV201" s="228"/>
      <c r="AW201" s="228"/>
    </row>
    <row r="202" spans="1:49" s="226" customFormat="1" ht="14" x14ac:dyDescent="0.15">
      <c r="A202" s="228"/>
      <c r="B202" s="228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</row>
    <row r="203" spans="1:49" s="226" customFormat="1" ht="14" x14ac:dyDescent="0.15">
      <c r="A203" s="228"/>
      <c r="B203" s="228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</row>
    <row r="204" spans="1:49" s="226" customFormat="1" ht="14" x14ac:dyDescent="0.15">
      <c r="A204" s="228"/>
      <c r="B204" s="228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</row>
    <row r="205" spans="1:49" s="226" customFormat="1" ht="14" x14ac:dyDescent="0.15">
      <c r="A205" s="228"/>
      <c r="B205" s="228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</row>
    <row r="206" spans="1:49" s="226" customFormat="1" ht="14" x14ac:dyDescent="0.15">
      <c r="A206" s="228"/>
      <c r="B206" s="228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</row>
    <row r="207" spans="1:49" s="226" customFormat="1" ht="14" x14ac:dyDescent="0.15">
      <c r="A207" s="228"/>
      <c r="B207" s="228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8"/>
      <c r="AQ207" s="228"/>
      <c r="AR207" s="228"/>
      <c r="AS207" s="228"/>
      <c r="AT207" s="228"/>
      <c r="AU207" s="228"/>
      <c r="AV207" s="228"/>
      <c r="AW207" s="228"/>
    </row>
    <row r="208" spans="1:49" s="226" customFormat="1" ht="14" x14ac:dyDescent="0.15">
      <c r="A208" s="228"/>
      <c r="B208" s="228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  <c r="AK208" s="228"/>
      <c r="AL208" s="228"/>
      <c r="AM208" s="228"/>
      <c r="AN208" s="228"/>
      <c r="AO208" s="228"/>
      <c r="AP208" s="228"/>
      <c r="AQ208" s="228"/>
      <c r="AR208" s="228"/>
      <c r="AS208" s="228"/>
      <c r="AT208" s="228"/>
      <c r="AU208" s="228"/>
      <c r="AV208" s="228"/>
      <c r="AW208" s="228"/>
    </row>
    <row r="209" spans="1:49" s="226" customFormat="1" ht="14" x14ac:dyDescent="0.15">
      <c r="A209" s="228"/>
      <c r="B209" s="228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</row>
    <row r="210" spans="1:49" s="226" customFormat="1" ht="14" x14ac:dyDescent="0.15">
      <c r="A210" s="228"/>
      <c r="B210" s="228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</row>
    <row r="211" spans="1:49" s="226" customFormat="1" ht="14" x14ac:dyDescent="0.15">
      <c r="A211" s="228"/>
      <c r="B211" s="228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</row>
    <row r="212" spans="1:49" s="226" customFormat="1" ht="14" x14ac:dyDescent="0.15">
      <c r="A212" s="228"/>
      <c r="B212" s="228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</row>
    <row r="213" spans="1:49" s="226" customFormat="1" ht="14" x14ac:dyDescent="0.15">
      <c r="A213" s="228"/>
      <c r="B213" s="228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</row>
    <row r="214" spans="1:49" s="226" customFormat="1" ht="14" x14ac:dyDescent="0.15">
      <c r="A214" s="228"/>
      <c r="B214" s="228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</row>
    <row r="215" spans="1:49" s="226" customFormat="1" ht="14" x14ac:dyDescent="0.15">
      <c r="A215" s="228"/>
      <c r="B215" s="228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  <c r="AL215" s="228"/>
      <c r="AM215" s="228"/>
      <c r="AN215" s="228"/>
      <c r="AO215" s="228"/>
      <c r="AP215" s="228"/>
      <c r="AQ215" s="228"/>
      <c r="AR215" s="228"/>
      <c r="AS215" s="228"/>
      <c r="AT215" s="228"/>
      <c r="AU215" s="228"/>
      <c r="AV215" s="228"/>
      <c r="AW215" s="228"/>
    </row>
    <row r="216" spans="1:49" s="226" customFormat="1" ht="14" x14ac:dyDescent="0.15">
      <c r="A216" s="228"/>
      <c r="B216" s="228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</row>
    <row r="217" spans="1:49" s="226" customFormat="1" ht="14" x14ac:dyDescent="0.15">
      <c r="A217" s="228"/>
      <c r="B217" s="228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</row>
    <row r="218" spans="1:49" s="226" customFormat="1" ht="14" x14ac:dyDescent="0.15">
      <c r="A218" s="228"/>
      <c r="B218" s="228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8"/>
      <c r="AQ218" s="228"/>
      <c r="AR218" s="228"/>
      <c r="AS218" s="228"/>
      <c r="AT218" s="228"/>
      <c r="AU218" s="228"/>
      <c r="AV218" s="228"/>
      <c r="AW218" s="228"/>
    </row>
    <row r="219" spans="1:49" s="226" customFormat="1" ht="14" x14ac:dyDescent="0.15">
      <c r="A219" s="228"/>
      <c r="B219" s="228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8"/>
      <c r="AQ219" s="228"/>
      <c r="AR219" s="228"/>
      <c r="AS219" s="228"/>
      <c r="AT219" s="228"/>
      <c r="AU219" s="228"/>
      <c r="AV219" s="228"/>
      <c r="AW219" s="228"/>
    </row>
    <row r="220" spans="1:49" s="226" customFormat="1" ht="14" x14ac:dyDescent="0.15">
      <c r="A220" s="228"/>
      <c r="B220" s="228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  <c r="AL220" s="228"/>
      <c r="AM220" s="228"/>
      <c r="AN220" s="228"/>
      <c r="AO220" s="228"/>
      <c r="AP220" s="228"/>
      <c r="AQ220" s="228"/>
      <c r="AR220" s="228"/>
      <c r="AS220" s="228"/>
      <c r="AT220" s="228"/>
      <c r="AU220" s="228"/>
      <c r="AV220" s="228"/>
      <c r="AW220" s="228"/>
    </row>
    <row r="221" spans="1:49" s="226" customFormat="1" ht="14" x14ac:dyDescent="0.15">
      <c r="A221" s="228"/>
      <c r="B221" s="228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28"/>
      <c r="AH221" s="228"/>
      <c r="AI221" s="228"/>
      <c r="AJ221" s="228"/>
      <c r="AK221" s="228"/>
      <c r="AL221" s="228"/>
      <c r="AM221" s="228"/>
      <c r="AN221" s="228"/>
      <c r="AO221" s="228"/>
      <c r="AP221" s="228"/>
      <c r="AQ221" s="228"/>
      <c r="AR221" s="228"/>
      <c r="AS221" s="228"/>
      <c r="AT221" s="228"/>
      <c r="AU221" s="228"/>
      <c r="AV221" s="228"/>
      <c r="AW221" s="228"/>
    </row>
    <row r="222" spans="1:49" s="226" customFormat="1" ht="14" x14ac:dyDescent="0.15">
      <c r="A222" s="228"/>
      <c r="B222" s="228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/>
      <c r="AH222" s="228"/>
      <c r="AI222" s="228"/>
      <c r="AJ222" s="228"/>
      <c r="AK222" s="228"/>
      <c r="AL222" s="228"/>
      <c r="AM222" s="228"/>
      <c r="AN222" s="228"/>
      <c r="AO222" s="228"/>
      <c r="AP222" s="228"/>
      <c r="AQ222" s="228"/>
      <c r="AR222" s="228"/>
      <c r="AS222" s="228"/>
      <c r="AT222" s="228"/>
      <c r="AU222" s="228"/>
      <c r="AV222" s="228"/>
      <c r="AW222" s="228"/>
    </row>
    <row r="223" spans="1:49" s="226" customFormat="1" ht="14" x14ac:dyDescent="0.15">
      <c r="A223" s="228"/>
      <c r="B223" s="228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/>
      <c r="AH223" s="228"/>
      <c r="AI223" s="228"/>
      <c r="AJ223" s="228"/>
      <c r="AK223" s="228"/>
      <c r="AL223" s="228"/>
      <c r="AM223" s="228"/>
      <c r="AN223" s="228"/>
      <c r="AO223" s="228"/>
      <c r="AP223" s="228"/>
      <c r="AQ223" s="228"/>
      <c r="AR223" s="228"/>
      <c r="AS223" s="228"/>
      <c r="AT223" s="228"/>
      <c r="AU223" s="228"/>
      <c r="AV223" s="228"/>
      <c r="AW223" s="228"/>
    </row>
    <row r="224" spans="1:49" s="226" customFormat="1" ht="14" x14ac:dyDescent="0.15">
      <c r="A224" s="228"/>
      <c r="B224" s="228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/>
      <c r="AH224" s="228"/>
      <c r="AI224" s="228"/>
      <c r="AJ224" s="228"/>
      <c r="AK224" s="228"/>
      <c r="AL224" s="228"/>
      <c r="AM224" s="228"/>
      <c r="AN224" s="228"/>
      <c r="AO224" s="228"/>
      <c r="AP224" s="228"/>
      <c r="AQ224" s="228"/>
      <c r="AR224" s="228"/>
      <c r="AS224" s="228"/>
      <c r="AT224" s="228"/>
      <c r="AU224" s="228"/>
      <c r="AV224" s="228"/>
      <c r="AW224" s="228"/>
    </row>
    <row r="225" spans="1:49" s="226" customFormat="1" ht="14" x14ac:dyDescent="0.15">
      <c r="A225" s="228"/>
      <c r="B225" s="228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/>
      <c r="AH225" s="228"/>
      <c r="AI225" s="228"/>
      <c r="AJ225" s="228"/>
      <c r="AK225" s="228"/>
      <c r="AL225" s="228"/>
      <c r="AM225" s="228"/>
      <c r="AN225" s="228"/>
      <c r="AO225" s="228"/>
      <c r="AP225" s="228"/>
      <c r="AQ225" s="228"/>
      <c r="AR225" s="228"/>
      <c r="AS225" s="228"/>
      <c r="AT225" s="228"/>
      <c r="AU225" s="228"/>
      <c r="AV225" s="228"/>
      <c r="AW225" s="228"/>
    </row>
    <row r="226" spans="1:49" s="226" customFormat="1" ht="14" x14ac:dyDescent="0.15">
      <c r="A226" s="228"/>
      <c r="B226" s="228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28"/>
      <c r="AH226" s="228"/>
      <c r="AI226" s="228"/>
      <c r="AJ226" s="228"/>
      <c r="AK226" s="228"/>
      <c r="AL226" s="228"/>
      <c r="AM226" s="228"/>
      <c r="AN226" s="228"/>
      <c r="AO226" s="228"/>
      <c r="AP226" s="228"/>
      <c r="AQ226" s="228"/>
      <c r="AR226" s="228"/>
      <c r="AS226" s="228"/>
      <c r="AT226" s="228"/>
      <c r="AU226" s="228"/>
      <c r="AV226" s="228"/>
      <c r="AW226" s="228"/>
    </row>
    <row r="227" spans="1:49" s="226" customFormat="1" ht="14" x14ac:dyDescent="0.15">
      <c r="A227" s="228"/>
      <c r="B227" s="228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28"/>
      <c r="AH227" s="228"/>
      <c r="AI227" s="228"/>
      <c r="AJ227" s="228"/>
      <c r="AK227" s="228"/>
      <c r="AL227" s="228"/>
      <c r="AM227" s="228"/>
      <c r="AN227" s="228"/>
      <c r="AO227" s="228"/>
      <c r="AP227" s="228"/>
      <c r="AQ227" s="228"/>
      <c r="AR227" s="228"/>
      <c r="AS227" s="228"/>
      <c r="AT227" s="228"/>
      <c r="AU227" s="228"/>
      <c r="AV227" s="228"/>
      <c r="AW227" s="228"/>
    </row>
    <row r="228" spans="1:49" s="226" customFormat="1" ht="14" x14ac:dyDescent="0.15">
      <c r="A228" s="228"/>
      <c r="B228" s="228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28"/>
      <c r="AH228" s="228"/>
      <c r="AI228" s="228"/>
      <c r="AJ228" s="228"/>
      <c r="AK228" s="228"/>
      <c r="AL228" s="228"/>
      <c r="AM228" s="228"/>
      <c r="AN228" s="228"/>
      <c r="AO228" s="228"/>
      <c r="AP228" s="228"/>
      <c r="AQ228" s="228"/>
      <c r="AR228" s="228"/>
      <c r="AS228" s="228"/>
      <c r="AT228" s="228"/>
      <c r="AU228" s="228"/>
      <c r="AV228" s="228"/>
      <c r="AW228" s="228"/>
    </row>
    <row r="229" spans="1:49" s="226" customFormat="1" ht="14" x14ac:dyDescent="0.15">
      <c r="A229" s="228"/>
      <c r="B229" s="228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28"/>
      <c r="AH229" s="228"/>
      <c r="AI229" s="228"/>
      <c r="AJ229" s="228"/>
      <c r="AK229" s="228"/>
      <c r="AL229" s="228"/>
      <c r="AM229" s="228"/>
      <c r="AN229" s="228"/>
      <c r="AO229" s="228"/>
      <c r="AP229" s="228"/>
      <c r="AQ229" s="228"/>
      <c r="AR229" s="228"/>
      <c r="AS229" s="228"/>
      <c r="AT229" s="228"/>
      <c r="AU229" s="228"/>
      <c r="AV229" s="228"/>
      <c r="AW229" s="228"/>
    </row>
    <row r="230" spans="1:49" s="226" customFormat="1" ht="14" x14ac:dyDescent="0.15">
      <c r="A230" s="228"/>
      <c r="B230" s="228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  <c r="AI230" s="228"/>
      <c r="AJ230" s="228"/>
      <c r="AK230" s="228"/>
      <c r="AL230" s="228"/>
      <c r="AM230" s="228"/>
      <c r="AN230" s="228"/>
      <c r="AO230" s="228"/>
      <c r="AP230" s="228"/>
      <c r="AQ230" s="228"/>
      <c r="AR230" s="228"/>
      <c r="AS230" s="228"/>
      <c r="AT230" s="228"/>
      <c r="AU230" s="228"/>
      <c r="AV230" s="228"/>
      <c r="AW230" s="228"/>
    </row>
    <row r="231" spans="1:49" s="226" customFormat="1" ht="14" x14ac:dyDescent="0.15">
      <c r="A231" s="228"/>
      <c r="B231" s="228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28"/>
      <c r="AH231" s="228"/>
      <c r="AI231" s="228"/>
      <c r="AJ231" s="228"/>
      <c r="AK231" s="228"/>
      <c r="AL231" s="228"/>
      <c r="AM231" s="228"/>
      <c r="AN231" s="228"/>
      <c r="AO231" s="228"/>
      <c r="AP231" s="228"/>
      <c r="AQ231" s="228"/>
      <c r="AR231" s="228"/>
      <c r="AS231" s="228"/>
      <c r="AT231" s="228"/>
      <c r="AU231" s="228"/>
      <c r="AV231" s="228"/>
      <c r="AW231" s="228"/>
    </row>
    <row r="232" spans="1:49" s="226" customFormat="1" ht="14" x14ac:dyDescent="0.15">
      <c r="A232" s="228"/>
      <c r="B232" s="228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28"/>
      <c r="AH232" s="228"/>
      <c r="AI232" s="228"/>
      <c r="AJ232" s="228"/>
      <c r="AK232" s="228"/>
      <c r="AL232" s="228"/>
      <c r="AM232" s="228"/>
      <c r="AN232" s="228"/>
      <c r="AO232" s="228"/>
      <c r="AP232" s="228"/>
      <c r="AQ232" s="228"/>
      <c r="AR232" s="228"/>
      <c r="AS232" s="228"/>
      <c r="AT232" s="228"/>
      <c r="AU232" s="228"/>
      <c r="AV232" s="228"/>
      <c r="AW232" s="228"/>
    </row>
    <row r="233" spans="1:49" s="226" customFormat="1" ht="14" x14ac:dyDescent="0.15">
      <c r="A233" s="228"/>
      <c r="B233" s="228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228"/>
      <c r="AM233" s="228"/>
      <c r="AN233" s="228"/>
      <c r="AO233" s="228"/>
      <c r="AP233" s="228"/>
      <c r="AQ233" s="228"/>
      <c r="AR233" s="228"/>
      <c r="AS233" s="228"/>
      <c r="AT233" s="228"/>
      <c r="AU233" s="228"/>
      <c r="AV233" s="228"/>
      <c r="AW233" s="228"/>
    </row>
    <row r="234" spans="1:49" s="226" customFormat="1" ht="14" x14ac:dyDescent="0.15">
      <c r="A234" s="228"/>
      <c r="B234" s="228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28"/>
      <c r="AH234" s="228"/>
      <c r="AI234" s="228"/>
      <c r="AJ234" s="228"/>
      <c r="AK234" s="228"/>
      <c r="AL234" s="228"/>
      <c r="AM234" s="228"/>
      <c r="AN234" s="228"/>
      <c r="AO234" s="228"/>
      <c r="AP234" s="228"/>
      <c r="AQ234" s="228"/>
      <c r="AR234" s="228"/>
      <c r="AS234" s="228"/>
      <c r="AT234" s="228"/>
      <c r="AU234" s="228"/>
      <c r="AV234" s="228"/>
      <c r="AW234" s="228"/>
    </row>
    <row r="235" spans="1:49" s="226" customFormat="1" ht="14" x14ac:dyDescent="0.15">
      <c r="A235" s="228"/>
      <c r="B235" s="228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  <c r="AG235" s="228"/>
      <c r="AH235" s="228"/>
      <c r="AI235" s="228"/>
      <c r="AJ235" s="228"/>
      <c r="AK235" s="228"/>
      <c r="AL235" s="228"/>
      <c r="AM235" s="228"/>
      <c r="AN235" s="228"/>
      <c r="AO235" s="228"/>
      <c r="AP235" s="228"/>
      <c r="AQ235" s="228"/>
      <c r="AR235" s="228"/>
      <c r="AS235" s="228"/>
      <c r="AT235" s="228"/>
      <c r="AU235" s="228"/>
      <c r="AV235" s="228"/>
      <c r="AW235" s="228"/>
    </row>
    <row r="236" spans="1:49" s="226" customFormat="1" ht="14" x14ac:dyDescent="0.15">
      <c r="A236" s="228"/>
      <c r="B236" s="228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  <c r="AA236" s="228"/>
      <c r="AB236" s="228"/>
      <c r="AC236" s="228"/>
      <c r="AD236" s="228"/>
      <c r="AE236" s="228"/>
      <c r="AF236" s="228"/>
      <c r="AG236" s="228"/>
      <c r="AH236" s="228"/>
      <c r="AI236" s="228"/>
      <c r="AJ236" s="228"/>
      <c r="AK236" s="228"/>
      <c r="AL236" s="228"/>
      <c r="AM236" s="228"/>
      <c r="AN236" s="228"/>
      <c r="AO236" s="228"/>
      <c r="AP236" s="228"/>
      <c r="AQ236" s="228"/>
      <c r="AR236" s="228"/>
      <c r="AS236" s="228"/>
      <c r="AT236" s="228"/>
      <c r="AU236" s="228"/>
      <c r="AV236" s="228"/>
      <c r="AW236" s="228"/>
    </row>
    <row r="237" spans="1:49" s="226" customFormat="1" ht="14" x14ac:dyDescent="0.15">
      <c r="A237" s="228"/>
      <c r="B237" s="228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  <c r="AA237" s="228"/>
      <c r="AB237" s="228"/>
      <c r="AC237" s="228"/>
      <c r="AD237" s="228"/>
      <c r="AE237" s="228"/>
      <c r="AF237" s="228"/>
      <c r="AG237" s="228"/>
      <c r="AH237" s="228"/>
      <c r="AI237" s="228"/>
      <c r="AJ237" s="228"/>
      <c r="AK237" s="228"/>
      <c r="AL237" s="228"/>
      <c r="AM237" s="228"/>
      <c r="AN237" s="228"/>
      <c r="AO237" s="228"/>
      <c r="AP237" s="228"/>
      <c r="AQ237" s="228"/>
      <c r="AR237" s="228"/>
      <c r="AS237" s="228"/>
      <c r="AT237" s="228"/>
      <c r="AU237" s="228"/>
      <c r="AV237" s="228"/>
      <c r="AW237" s="228"/>
    </row>
    <row r="238" spans="1:49" s="226" customFormat="1" ht="14" x14ac:dyDescent="0.15">
      <c r="A238" s="228"/>
      <c r="B238" s="228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  <c r="AG238" s="228"/>
      <c r="AH238" s="228"/>
      <c r="AI238" s="228"/>
      <c r="AJ238" s="228"/>
      <c r="AK238" s="228"/>
      <c r="AL238" s="228"/>
      <c r="AM238" s="228"/>
      <c r="AN238" s="228"/>
      <c r="AO238" s="228"/>
      <c r="AP238" s="228"/>
      <c r="AQ238" s="228"/>
      <c r="AR238" s="228"/>
      <c r="AS238" s="228"/>
      <c r="AT238" s="228"/>
      <c r="AU238" s="228"/>
      <c r="AV238" s="228"/>
      <c r="AW238" s="228"/>
    </row>
    <row r="239" spans="1:49" s="226" customFormat="1" ht="14" x14ac:dyDescent="0.15">
      <c r="A239" s="228"/>
      <c r="B239" s="228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28"/>
      <c r="AH239" s="228"/>
      <c r="AI239" s="228"/>
      <c r="AJ239" s="228"/>
      <c r="AK239" s="228"/>
      <c r="AL239" s="228"/>
      <c r="AM239" s="228"/>
      <c r="AN239" s="228"/>
      <c r="AO239" s="228"/>
      <c r="AP239" s="228"/>
      <c r="AQ239" s="228"/>
      <c r="AR239" s="228"/>
      <c r="AS239" s="228"/>
      <c r="AT239" s="228"/>
      <c r="AU239" s="228"/>
      <c r="AV239" s="228"/>
      <c r="AW239" s="228"/>
    </row>
    <row r="240" spans="1:49" s="226" customFormat="1" ht="14" x14ac:dyDescent="0.15">
      <c r="A240" s="228"/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  <c r="AI240" s="228"/>
      <c r="AJ240" s="228"/>
      <c r="AK240" s="228"/>
      <c r="AL240" s="228"/>
      <c r="AM240" s="228"/>
      <c r="AN240" s="228"/>
      <c r="AO240" s="228"/>
      <c r="AP240" s="228"/>
      <c r="AQ240" s="228"/>
      <c r="AR240" s="228"/>
      <c r="AS240" s="228"/>
      <c r="AT240" s="228"/>
      <c r="AU240" s="228"/>
      <c r="AV240" s="228"/>
      <c r="AW240" s="228"/>
    </row>
    <row r="241" spans="1:49" s="226" customFormat="1" ht="14" x14ac:dyDescent="0.15">
      <c r="A241" s="228"/>
      <c r="B241" s="228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28"/>
      <c r="AH241" s="228"/>
      <c r="AI241" s="228"/>
      <c r="AJ241" s="228"/>
      <c r="AK241" s="228"/>
      <c r="AL241" s="228"/>
      <c r="AM241" s="228"/>
      <c r="AN241" s="228"/>
      <c r="AO241" s="228"/>
      <c r="AP241" s="228"/>
      <c r="AQ241" s="228"/>
      <c r="AR241" s="228"/>
      <c r="AS241" s="228"/>
      <c r="AT241" s="228"/>
      <c r="AU241" s="228"/>
      <c r="AV241" s="228"/>
      <c r="AW241" s="228"/>
    </row>
    <row r="242" spans="1:49" s="226" customFormat="1" ht="14" x14ac:dyDescent="0.15">
      <c r="A242" s="228"/>
      <c r="B242" s="228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  <c r="AL242" s="228"/>
      <c r="AM242" s="228"/>
      <c r="AN242" s="228"/>
      <c r="AO242" s="228"/>
      <c r="AP242" s="228"/>
      <c r="AQ242" s="228"/>
      <c r="AR242" s="228"/>
      <c r="AS242" s="228"/>
      <c r="AT242" s="228"/>
      <c r="AU242" s="228"/>
      <c r="AV242" s="228"/>
      <c r="AW242" s="228"/>
    </row>
    <row r="243" spans="1:49" s="226" customFormat="1" ht="14" x14ac:dyDescent="0.15">
      <c r="A243" s="228"/>
      <c r="B243" s="228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28"/>
      <c r="AH243" s="228"/>
      <c r="AI243" s="228"/>
      <c r="AJ243" s="228"/>
      <c r="AK243" s="228"/>
      <c r="AL243" s="228"/>
      <c r="AM243" s="228"/>
      <c r="AN243" s="228"/>
      <c r="AO243" s="228"/>
      <c r="AP243" s="228"/>
      <c r="AQ243" s="228"/>
      <c r="AR243" s="228"/>
      <c r="AS243" s="228"/>
      <c r="AT243" s="228"/>
      <c r="AU243" s="228"/>
      <c r="AV243" s="228"/>
      <c r="AW243" s="228"/>
    </row>
    <row r="244" spans="1:49" s="226" customFormat="1" ht="14" x14ac:dyDescent="0.15">
      <c r="A244" s="228"/>
      <c r="B244" s="228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  <c r="AG244" s="228"/>
      <c r="AH244" s="228"/>
      <c r="AI244" s="228"/>
      <c r="AJ244" s="228"/>
      <c r="AK244" s="228"/>
      <c r="AL244" s="228"/>
      <c r="AM244" s="228"/>
      <c r="AN244" s="228"/>
      <c r="AO244" s="228"/>
      <c r="AP244" s="228"/>
      <c r="AQ244" s="228"/>
      <c r="AR244" s="228"/>
      <c r="AS244" s="228"/>
      <c r="AT244" s="228"/>
      <c r="AU244" s="228"/>
      <c r="AV244" s="228"/>
      <c r="AW244" s="228"/>
    </row>
    <row r="245" spans="1:49" s="226" customFormat="1" ht="14" x14ac:dyDescent="0.15">
      <c r="A245" s="228"/>
      <c r="B245" s="228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  <c r="AG245" s="228"/>
      <c r="AH245" s="228"/>
      <c r="AI245" s="228"/>
      <c r="AJ245" s="228"/>
      <c r="AK245" s="228"/>
      <c r="AL245" s="228"/>
      <c r="AM245" s="228"/>
      <c r="AN245" s="228"/>
      <c r="AO245" s="228"/>
      <c r="AP245" s="228"/>
      <c r="AQ245" s="228"/>
      <c r="AR245" s="228"/>
      <c r="AS245" s="228"/>
      <c r="AT245" s="228"/>
      <c r="AU245" s="228"/>
      <c r="AV245" s="228"/>
      <c r="AW245" s="228"/>
    </row>
    <row r="246" spans="1:49" s="226" customFormat="1" ht="14" x14ac:dyDescent="0.15">
      <c r="A246" s="228"/>
      <c r="B246" s="228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  <c r="AG246" s="228"/>
      <c r="AH246" s="228"/>
      <c r="AI246" s="228"/>
      <c r="AJ246" s="228"/>
      <c r="AK246" s="228"/>
      <c r="AL246" s="228"/>
      <c r="AM246" s="228"/>
      <c r="AN246" s="228"/>
      <c r="AO246" s="228"/>
      <c r="AP246" s="228"/>
      <c r="AQ246" s="228"/>
      <c r="AR246" s="228"/>
      <c r="AS246" s="228"/>
      <c r="AT246" s="228"/>
      <c r="AU246" s="228"/>
      <c r="AV246" s="228"/>
      <c r="AW246" s="228"/>
    </row>
    <row r="247" spans="1:49" s="226" customFormat="1" ht="14" x14ac:dyDescent="0.15">
      <c r="A247" s="228"/>
      <c r="B247" s="228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28"/>
      <c r="AH247" s="228"/>
      <c r="AI247" s="228"/>
      <c r="AJ247" s="228"/>
      <c r="AK247" s="228"/>
      <c r="AL247" s="228"/>
      <c r="AM247" s="228"/>
      <c r="AN247" s="228"/>
      <c r="AO247" s="228"/>
      <c r="AP247" s="228"/>
      <c r="AQ247" s="228"/>
      <c r="AR247" s="228"/>
      <c r="AS247" s="228"/>
      <c r="AT247" s="228"/>
      <c r="AU247" s="228"/>
      <c r="AV247" s="228"/>
      <c r="AW247" s="228"/>
    </row>
    <row r="248" spans="1:49" s="226" customFormat="1" ht="14" x14ac:dyDescent="0.15">
      <c r="A248" s="228"/>
      <c r="B248" s="228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  <c r="AG248" s="228"/>
      <c r="AH248" s="228"/>
      <c r="AI248" s="228"/>
      <c r="AJ248" s="228"/>
      <c r="AK248" s="228"/>
      <c r="AL248" s="228"/>
      <c r="AM248" s="228"/>
      <c r="AN248" s="228"/>
      <c r="AO248" s="228"/>
      <c r="AP248" s="228"/>
      <c r="AQ248" s="228"/>
      <c r="AR248" s="228"/>
      <c r="AS248" s="228"/>
      <c r="AT248" s="228"/>
      <c r="AU248" s="228"/>
      <c r="AV248" s="228"/>
      <c r="AW248" s="228"/>
    </row>
    <row r="249" spans="1:49" s="226" customFormat="1" ht="14" x14ac:dyDescent="0.15">
      <c r="A249" s="228"/>
      <c r="B249" s="228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  <c r="AG249" s="228"/>
      <c r="AH249" s="228"/>
      <c r="AI249" s="228"/>
      <c r="AJ249" s="228"/>
      <c r="AK249" s="228"/>
      <c r="AL249" s="228"/>
      <c r="AM249" s="228"/>
      <c r="AN249" s="228"/>
      <c r="AO249" s="228"/>
      <c r="AP249" s="228"/>
      <c r="AQ249" s="228"/>
      <c r="AR249" s="228"/>
      <c r="AS249" s="228"/>
      <c r="AT249" s="228"/>
      <c r="AU249" s="228"/>
      <c r="AV249" s="228"/>
      <c r="AW249" s="228"/>
    </row>
    <row r="250" spans="1:49" s="226" customFormat="1" ht="14" x14ac:dyDescent="0.15">
      <c r="A250" s="228"/>
      <c r="B250" s="228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8"/>
      <c r="AG250" s="228"/>
      <c r="AH250" s="228"/>
      <c r="AI250" s="228"/>
      <c r="AJ250" s="228"/>
      <c r="AK250" s="228"/>
      <c r="AL250" s="228"/>
      <c r="AM250" s="228"/>
      <c r="AN250" s="228"/>
      <c r="AO250" s="228"/>
      <c r="AP250" s="228"/>
      <c r="AQ250" s="228"/>
      <c r="AR250" s="228"/>
      <c r="AS250" s="228"/>
      <c r="AT250" s="228"/>
      <c r="AU250" s="228"/>
      <c r="AV250" s="228"/>
      <c r="AW250" s="228"/>
    </row>
    <row r="251" spans="1:49" s="226" customFormat="1" ht="14" x14ac:dyDescent="0.15">
      <c r="A251" s="228"/>
      <c r="B251" s="228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  <c r="AG251" s="228"/>
      <c r="AH251" s="228"/>
      <c r="AI251" s="228"/>
      <c r="AJ251" s="228"/>
      <c r="AK251" s="228"/>
      <c r="AL251" s="228"/>
      <c r="AM251" s="228"/>
      <c r="AN251" s="228"/>
      <c r="AO251" s="228"/>
      <c r="AP251" s="228"/>
      <c r="AQ251" s="228"/>
      <c r="AR251" s="228"/>
      <c r="AS251" s="228"/>
      <c r="AT251" s="228"/>
      <c r="AU251" s="228"/>
      <c r="AV251" s="228"/>
      <c r="AW251" s="228"/>
    </row>
    <row r="252" spans="1:49" s="226" customFormat="1" ht="14" x14ac:dyDescent="0.15">
      <c r="A252" s="228"/>
      <c r="B252" s="228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  <c r="AG252" s="228"/>
      <c r="AH252" s="228"/>
      <c r="AI252" s="228"/>
      <c r="AJ252" s="228"/>
      <c r="AK252" s="228"/>
      <c r="AL252" s="228"/>
      <c r="AM252" s="228"/>
      <c r="AN252" s="228"/>
      <c r="AO252" s="228"/>
      <c r="AP252" s="228"/>
      <c r="AQ252" s="228"/>
      <c r="AR252" s="228"/>
      <c r="AS252" s="228"/>
      <c r="AT252" s="228"/>
      <c r="AU252" s="228"/>
      <c r="AV252" s="228"/>
      <c r="AW252" s="228"/>
    </row>
    <row r="253" spans="1:49" s="226" customFormat="1" x14ac:dyDescent="0.15"/>
    <row r="254" spans="1:49" s="226" customFormat="1" x14ac:dyDescent="0.15"/>
    <row r="255" spans="1:49" s="226" customFormat="1" x14ac:dyDescent="0.15"/>
    <row r="256" spans="1:49" s="226" customFormat="1" x14ac:dyDescent="0.15"/>
    <row r="257" s="226" customFormat="1" x14ac:dyDescent="0.15"/>
    <row r="258" s="226" customFormat="1" x14ac:dyDescent="0.15"/>
    <row r="259" s="226" customFormat="1" x14ac:dyDescent="0.15"/>
    <row r="260" s="226" customFormat="1" x14ac:dyDescent="0.15"/>
    <row r="261" s="226" customFormat="1" x14ac:dyDescent="0.15"/>
    <row r="262" s="226" customFormat="1" x14ac:dyDescent="0.15"/>
    <row r="263" s="226" customFormat="1" x14ac:dyDescent="0.15"/>
    <row r="264" s="226" customFormat="1" x14ac:dyDescent="0.15"/>
    <row r="265" s="226" customFormat="1" x14ac:dyDescent="0.15"/>
    <row r="266" s="226" customFormat="1" x14ac:dyDescent="0.15"/>
    <row r="267" s="226" customFormat="1" x14ac:dyDescent="0.15"/>
    <row r="268" s="226" customFormat="1" x14ac:dyDescent="0.15"/>
    <row r="269" s="226" customFormat="1" x14ac:dyDescent="0.15"/>
    <row r="270" s="226" customFormat="1" x14ac:dyDescent="0.15"/>
    <row r="271" s="226" customFormat="1" x14ac:dyDescent="0.15"/>
    <row r="272" s="226" customFormat="1" x14ac:dyDescent="0.15"/>
    <row r="273" s="226" customFormat="1" x14ac:dyDescent="0.15"/>
    <row r="274" s="226" customFormat="1" x14ac:dyDescent="0.15"/>
    <row r="275" s="226" customFormat="1" x14ac:dyDescent="0.15"/>
    <row r="276" s="226" customFormat="1" x14ac:dyDescent="0.15"/>
    <row r="277" s="226" customFormat="1" x14ac:dyDescent="0.15"/>
    <row r="278" s="226" customFormat="1" x14ac:dyDescent="0.15"/>
    <row r="279" s="226" customFormat="1" x14ac:dyDescent="0.15"/>
    <row r="280" s="226" customFormat="1" x14ac:dyDescent="0.15"/>
    <row r="281" s="226" customFormat="1" x14ac:dyDescent="0.15"/>
    <row r="282" s="226" customFormat="1" x14ac:dyDescent="0.15"/>
    <row r="283" s="226" customFormat="1" x14ac:dyDescent="0.15"/>
    <row r="284" s="226" customFormat="1" x14ac:dyDescent="0.15"/>
    <row r="285" s="226" customFormat="1" x14ac:dyDescent="0.15"/>
    <row r="286" s="226" customFormat="1" x14ac:dyDescent="0.15"/>
    <row r="287" s="226" customFormat="1" x14ac:dyDescent="0.15"/>
    <row r="288" s="226" customFormat="1" x14ac:dyDescent="0.15"/>
    <row r="289" s="226" customFormat="1" x14ac:dyDescent="0.15"/>
    <row r="290" s="226" customFormat="1" x14ac:dyDescent="0.15"/>
    <row r="291" s="226" customFormat="1" x14ac:dyDescent="0.15"/>
    <row r="292" s="226" customFormat="1" x14ac:dyDescent="0.15"/>
    <row r="293" s="226" customFormat="1" x14ac:dyDescent="0.15"/>
    <row r="294" s="226" customFormat="1" x14ac:dyDescent="0.15"/>
    <row r="295" s="226" customFormat="1" x14ac:dyDescent="0.15"/>
    <row r="296" s="226" customFormat="1" x14ac:dyDescent="0.15"/>
    <row r="297" s="226" customFormat="1" x14ac:dyDescent="0.15"/>
    <row r="298" s="226" customFormat="1" x14ac:dyDescent="0.15"/>
    <row r="299" s="226" customFormat="1" x14ac:dyDescent="0.15"/>
    <row r="300" s="226" customFormat="1" x14ac:dyDescent="0.15"/>
    <row r="301" s="226" customFormat="1" x14ac:dyDescent="0.15"/>
    <row r="302" s="226" customFormat="1" x14ac:dyDescent="0.15"/>
    <row r="303" s="226" customFormat="1" x14ac:dyDescent="0.15"/>
    <row r="304" s="226" customFormat="1" x14ac:dyDescent="0.15"/>
    <row r="305" s="226" customFormat="1" x14ac:dyDescent="0.15"/>
    <row r="306" s="226" customFormat="1" x14ac:dyDescent="0.15"/>
    <row r="307" s="226" customFormat="1" x14ac:dyDescent="0.15"/>
    <row r="308" s="226" customFormat="1" x14ac:dyDescent="0.15"/>
    <row r="309" s="226" customFormat="1" x14ac:dyDescent="0.15"/>
    <row r="310" s="226" customFormat="1" x14ac:dyDescent="0.15"/>
    <row r="311" s="226" customFormat="1" x14ac:dyDescent="0.15"/>
    <row r="312" s="226" customFormat="1" x14ac:dyDescent="0.15"/>
    <row r="313" s="226" customFormat="1" x14ac:dyDescent="0.15"/>
    <row r="314" s="226" customFormat="1" x14ac:dyDescent="0.15"/>
    <row r="315" s="226" customFormat="1" x14ac:dyDescent="0.15"/>
    <row r="316" s="226" customFormat="1" x14ac:dyDescent="0.15"/>
    <row r="317" s="226" customFormat="1" x14ac:dyDescent="0.15"/>
    <row r="318" s="226" customFormat="1" x14ac:dyDescent="0.15"/>
    <row r="319" s="226" customFormat="1" x14ac:dyDescent="0.15"/>
    <row r="320" s="226" customFormat="1" x14ac:dyDescent="0.15"/>
    <row r="321" s="226" customFormat="1" x14ac:dyDescent="0.15"/>
    <row r="322" s="226" customFormat="1" x14ac:dyDescent="0.15"/>
    <row r="323" s="226" customFormat="1" x14ac:dyDescent="0.15"/>
    <row r="324" s="226" customFormat="1" x14ac:dyDescent="0.15"/>
    <row r="325" s="226" customFormat="1" x14ac:dyDescent="0.15"/>
    <row r="326" s="226" customFormat="1" x14ac:dyDescent="0.15"/>
    <row r="327" s="226" customFormat="1" x14ac:dyDescent="0.15"/>
    <row r="328" s="226" customFormat="1" x14ac:dyDescent="0.15"/>
    <row r="329" s="226" customFormat="1" x14ac:dyDescent="0.15"/>
    <row r="330" s="226" customFormat="1" x14ac:dyDescent="0.15"/>
    <row r="331" s="226" customFormat="1" x14ac:dyDescent="0.15"/>
    <row r="332" s="226" customFormat="1" x14ac:dyDescent="0.15"/>
    <row r="333" s="226" customFormat="1" x14ac:dyDescent="0.15"/>
    <row r="334" s="226" customFormat="1" x14ac:dyDescent="0.15"/>
    <row r="335" s="226" customFormat="1" x14ac:dyDescent="0.15"/>
    <row r="336" s="226" customFormat="1" x14ac:dyDescent="0.15"/>
    <row r="337" s="226" customFormat="1" x14ac:dyDescent="0.15"/>
    <row r="338" s="226" customFormat="1" x14ac:dyDescent="0.15"/>
    <row r="339" s="226" customFormat="1" x14ac:dyDescent="0.15"/>
    <row r="340" s="226" customFormat="1" x14ac:dyDescent="0.15"/>
    <row r="341" s="226" customFormat="1" x14ac:dyDescent="0.15"/>
    <row r="342" s="226" customFormat="1" x14ac:dyDescent="0.15"/>
    <row r="343" s="226" customFormat="1" x14ac:dyDescent="0.15"/>
    <row r="344" s="226" customFormat="1" x14ac:dyDescent="0.15"/>
    <row r="345" s="226" customFormat="1" x14ac:dyDescent="0.15"/>
    <row r="346" s="226" customFormat="1" x14ac:dyDescent="0.15"/>
    <row r="347" s="226" customFormat="1" x14ac:dyDescent="0.15"/>
    <row r="348" s="226" customFormat="1" x14ac:dyDescent="0.15"/>
    <row r="349" s="226" customFormat="1" x14ac:dyDescent="0.15"/>
    <row r="350" s="226" customFormat="1" x14ac:dyDescent="0.15"/>
    <row r="351" s="226" customFormat="1" x14ac:dyDescent="0.15"/>
    <row r="352" s="226" customFormat="1" x14ac:dyDescent="0.15"/>
    <row r="353" s="226" customFormat="1" x14ac:dyDescent="0.15"/>
    <row r="354" s="226" customFormat="1" x14ac:dyDescent="0.15"/>
    <row r="355" s="226" customFormat="1" x14ac:dyDescent="0.15"/>
    <row r="356" s="226" customFormat="1" x14ac:dyDescent="0.15"/>
    <row r="357" s="226" customFormat="1" x14ac:dyDescent="0.15"/>
    <row r="358" s="226" customFormat="1" x14ac:dyDescent="0.15"/>
    <row r="359" s="226" customFormat="1" x14ac:dyDescent="0.15"/>
    <row r="360" s="226" customFormat="1" x14ac:dyDescent="0.15"/>
    <row r="361" s="226" customFormat="1" x14ac:dyDescent="0.15"/>
    <row r="362" s="226" customFormat="1" x14ac:dyDescent="0.15"/>
    <row r="363" s="226" customFormat="1" x14ac:dyDescent="0.15"/>
    <row r="364" s="226" customFormat="1" x14ac:dyDescent="0.15"/>
    <row r="365" s="226" customFormat="1" x14ac:dyDescent="0.15"/>
    <row r="366" s="226" customFormat="1" x14ac:dyDescent="0.15"/>
    <row r="367" s="226" customFormat="1" x14ac:dyDescent="0.15"/>
    <row r="368" s="226" customFormat="1" x14ac:dyDescent="0.15"/>
    <row r="369" s="226" customFormat="1" x14ac:dyDescent="0.15"/>
    <row r="370" s="226" customFormat="1" x14ac:dyDescent="0.15"/>
    <row r="371" s="226" customFormat="1" x14ac:dyDescent="0.15"/>
    <row r="372" s="226" customFormat="1" x14ac:dyDescent="0.15"/>
    <row r="373" s="226" customFormat="1" x14ac:dyDescent="0.15"/>
    <row r="374" s="226" customFormat="1" x14ac:dyDescent="0.15"/>
    <row r="375" s="226" customFormat="1" x14ac:dyDescent="0.15"/>
    <row r="376" s="226" customFormat="1" x14ac:dyDescent="0.15"/>
    <row r="377" s="226" customFormat="1" x14ac:dyDescent="0.15"/>
    <row r="378" s="226" customFormat="1" x14ac:dyDescent="0.15"/>
    <row r="379" s="226" customFormat="1" x14ac:dyDescent="0.15"/>
    <row r="380" s="226" customFormat="1" x14ac:dyDescent="0.15"/>
    <row r="381" s="226" customFormat="1" x14ac:dyDescent="0.15"/>
    <row r="382" s="226" customFormat="1" x14ac:dyDescent="0.15"/>
    <row r="383" s="226" customFormat="1" x14ac:dyDescent="0.15"/>
    <row r="384" s="226" customFormat="1" x14ac:dyDescent="0.15"/>
    <row r="385" s="226" customFormat="1" x14ac:dyDescent="0.15"/>
    <row r="386" s="226" customFormat="1" x14ac:dyDescent="0.15"/>
    <row r="387" s="226" customFormat="1" x14ac:dyDescent="0.15"/>
    <row r="388" s="226" customFormat="1" x14ac:dyDescent="0.15"/>
    <row r="389" s="226" customFormat="1" x14ac:dyDescent="0.15"/>
    <row r="390" s="226" customFormat="1" x14ac:dyDescent="0.15"/>
    <row r="391" s="226" customFormat="1" x14ac:dyDescent="0.15"/>
    <row r="392" s="226" customFormat="1" x14ac:dyDescent="0.15"/>
    <row r="393" s="226" customFormat="1" x14ac:dyDescent="0.15"/>
    <row r="394" s="226" customFormat="1" x14ac:dyDescent="0.15"/>
    <row r="395" s="226" customFormat="1" x14ac:dyDescent="0.15"/>
    <row r="396" s="226" customFormat="1" x14ac:dyDescent="0.15"/>
    <row r="397" s="226" customFormat="1" x14ac:dyDescent="0.15"/>
    <row r="398" s="226" customFormat="1" x14ac:dyDescent="0.15"/>
    <row r="399" s="226" customFormat="1" x14ac:dyDescent="0.15"/>
    <row r="400" s="226" customFormat="1" x14ac:dyDescent="0.15"/>
    <row r="401" s="226" customFormat="1" x14ac:dyDescent="0.15"/>
    <row r="402" s="226" customFormat="1" x14ac:dyDescent="0.15"/>
    <row r="403" s="226" customFormat="1" x14ac:dyDescent="0.15"/>
    <row r="404" s="226" customFormat="1" x14ac:dyDescent="0.15"/>
    <row r="405" s="226" customFormat="1" x14ac:dyDescent="0.15"/>
    <row r="406" s="226" customFormat="1" x14ac:dyDescent="0.15"/>
    <row r="407" s="226" customFormat="1" x14ac:dyDescent="0.15"/>
    <row r="408" s="226" customFormat="1" x14ac:dyDescent="0.15"/>
    <row r="409" s="226" customFormat="1" x14ac:dyDescent="0.15"/>
    <row r="410" s="226" customFormat="1" x14ac:dyDescent="0.15"/>
    <row r="411" s="226" customFormat="1" x14ac:dyDescent="0.15"/>
    <row r="412" s="226" customFormat="1" x14ac:dyDescent="0.15"/>
    <row r="413" s="226" customFormat="1" x14ac:dyDescent="0.15"/>
    <row r="414" s="226" customFormat="1" x14ac:dyDescent="0.15"/>
    <row r="415" s="226" customFormat="1" x14ac:dyDescent="0.15"/>
    <row r="416" s="226" customFormat="1" x14ac:dyDescent="0.15"/>
    <row r="417" s="226" customFormat="1" x14ac:dyDescent="0.15"/>
    <row r="418" s="226" customFormat="1" x14ac:dyDescent="0.15"/>
    <row r="419" s="226" customFormat="1" x14ac:dyDescent="0.15"/>
    <row r="420" s="226" customFormat="1" x14ac:dyDescent="0.15"/>
    <row r="421" s="226" customFormat="1" x14ac:dyDescent="0.15"/>
    <row r="422" s="226" customFormat="1" x14ac:dyDescent="0.15"/>
    <row r="423" s="226" customFormat="1" x14ac:dyDescent="0.15"/>
    <row r="424" s="226" customFormat="1" x14ac:dyDescent="0.15"/>
    <row r="425" s="226" customFormat="1" x14ac:dyDescent="0.15"/>
    <row r="426" s="226" customFormat="1" x14ac:dyDescent="0.15"/>
    <row r="427" s="226" customFormat="1" x14ac:dyDescent="0.15"/>
    <row r="428" s="226" customFormat="1" x14ac:dyDescent="0.15"/>
    <row r="429" s="226" customFormat="1" x14ac:dyDescent="0.15"/>
    <row r="430" s="226" customFormat="1" x14ac:dyDescent="0.15"/>
    <row r="431" s="226" customFormat="1" x14ac:dyDescent="0.15"/>
    <row r="432" s="226" customFormat="1" x14ac:dyDescent="0.15"/>
    <row r="433" spans="21:122" s="226" customFormat="1" x14ac:dyDescent="0.15"/>
    <row r="434" spans="21:122" s="226" customFormat="1" x14ac:dyDescent="0.15"/>
    <row r="435" spans="21:122" s="226" customFormat="1" x14ac:dyDescent="0.15"/>
    <row r="436" spans="21:122" s="226" customFormat="1" x14ac:dyDescent="0.15"/>
    <row r="437" spans="21:122" s="226" customFormat="1" x14ac:dyDescent="0.15"/>
    <row r="438" spans="21:122" s="227" customFormat="1" x14ac:dyDescent="0.15">
      <c r="U438" s="226"/>
      <c r="V438" s="226"/>
      <c r="W438" s="226"/>
      <c r="X438" s="226"/>
      <c r="Y438" s="226"/>
      <c r="Z438" s="226"/>
      <c r="AA438" s="226"/>
      <c r="AB438" s="226"/>
      <c r="AC438" s="226"/>
      <c r="AD438" s="226"/>
      <c r="AE438" s="226"/>
      <c r="AF438" s="226"/>
      <c r="AG438" s="226"/>
      <c r="AH438" s="226"/>
      <c r="AI438" s="226"/>
      <c r="AJ438" s="226"/>
      <c r="AK438" s="226"/>
      <c r="AL438" s="226"/>
      <c r="AM438" s="226"/>
      <c r="AN438" s="226"/>
      <c r="AO438" s="226"/>
      <c r="AP438" s="226"/>
      <c r="AQ438" s="226"/>
      <c r="AR438" s="226"/>
      <c r="AS438" s="226"/>
      <c r="AT438" s="226"/>
      <c r="AU438" s="226"/>
      <c r="AV438" s="226"/>
      <c r="AW438" s="226"/>
      <c r="AX438" s="226"/>
      <c r="AY438" s="226"/>
      <c r="AZ438" s="226"/>
      <c r="BA438" s="226"/>
      <c r="BB438" s="226"/>
      <c r="BC438" s="226"/>
      <c r="BD438" s="226"/>
      <c r="BE438" s="226"/>
      <c r="BF438" s="226"/>
      <c r="BG438" s="226"/>
      <c r="BH438" s="226"/>
      <c r="BI438" s="226"/>
      <c r="BJ438" s="226"/>
      <c r="BK438" s="226"/>
      <c r="BL438" s="226"/>
      <c r="BM438" s="226"/>
      <c r="BN438" s="226"/>
      <c r="BO438" s="226"/>
      <c r="BP438" s="226"/>
      <c r="BQ438" s="226"/>
      <c r="BR438" s="226"/>
      <c r="BS438" s="226"/>
      <c r="BT438" s="226"/>
      <c r="BU438" s="226"/>
      <c r="BV438" s="226"/>
      <c r="BW438" s="226"/>
      <c r="BX438" s="226"/>
      <c r="BY438" s="226"/>
      <c r="BZ438" s="226"/>
      <c r="CA438" s="226"/>
      <c r="CB438" s="226"/>
      <c r="CC438" s="226"/>
      <c r="CD438" s="226"/>
      <c r="CE438" s="226"/>
      <c r="CF438" s="226"/>
      <c r="CG438" s="226"/>
      <c r="CH438" s="226"/>
      <c r="CI438" s="226"/>
      <c r="CJ438" s="226"/>
      <c r="CK438" s="226"/>
      <c r="CL438" s="226"/>
      <c r="CM438" s="226"/>
      <c r="CN438" s="226"/>
      <c r="CO438" s="226"/>
      <c r="CP438" s="226"/>
      <c r="CQ438" s="226"/>
      <c r="CR438" s="226"/>
      <c r="CS438" s="226"/>
      <c r="CT438" s="226"/>
      <c r="CU438" s="226"/>
      <c r="CV438" s="226"/>
      <c r="CW438" s="226"/>
      <c r="CX438" s="226"/>
      <c r="CY438" s="226"/>
      <c r="CZ438" s="226"/>
      <c r="DA438" s="226"/>
      <c r="DB438" s="226"/>
      <c r="DC438" s="226"/>
      <c r="DD438" s="226"/>
      <c r="DE438" s="226"/>
      <c r="DF438" s="226"/>
      <c r="DG438" s="226"/>
      <c r="DH438" s="226"/>
      <c r="DI438" s="226"/>
      <c r="DJ438" s="226"/>
      <c r="DK438" s="226"/>
      <c r="DL438" s="226"/>
      <c r="DM438" s="226"/>
      <c r="DN438" s="226"/>
      <c r="DO438" s="226"/>
      <c r="DP438" s="226"/>
      <c r="DQ438" s="226"/>
      <c r="DR438" s="226"/>
    </row>
    <row r="439" spans="21:122" s="227" customFormat="1" x14ac:dyDescent="0.15">
      <c r="U439" s="226"/>
      <c r="V439" s="226"/>
      <c r="W439" s="226"/>
      <c r="X439" s="226"/>
      <c r="Y439" s="226"/>
      <c r="Z439" s="226"/>
      <c r="AA439" s="226"/>
      <c r="AB439" s="226"/>
      <c r="AC439" s="226"/>
      <c r="AD439" s="226"/>
      <c r="AE439" s="226"/>
      <c r="AF439" s="226"/>
      <c r="AG439" s="226"/>
      <c r="AH439" s="226"/>
      <c r="AI439" s="226"/>
      <c r="AJ439" s="226"/>
      <c r="AK439" s="226"/>
      <c r="AL439" s="226"/>
      <c r="AM439" s="226"/>
      <c r="AN439" s="226"/>
      <c r="AO439" s="226"/>
      <c r="AP439" s="226"/>
      <c r="AQ439" s="226"/>
      <c r="AR439" s="226"/>
      <c r="AS439" s="226"/>
      <c r="AT439" s="226"/>
      <c r="AU439" s="226"/>
      <c r="AV439" s="226"/>
      <c r="AW439" s="226"/>
      <c r="AX439" s="226"/>
      <c r="AY439" s="226"/>
      <c r="AZ439" s="226"/>
      <c r="BA439" s="226"/>
      <c r="BB439" s="226"/>
      <c r="BC439" s="226"/>
      <c r="BD439" s="226"/>
      <c r="BE439" s="226"/>
      <c r="BF439" s="226"/>
      <c r="BG439" s="226"/>
      <c r="BH439" s="226"/>
      <c r="BI439" s="226"/>
      <c r="BJ439" s="226"/>
      <c r="BK439" s="226"/>
      <c r="BL439" s="226"/>
      <c r="BM439" s="226"/>
      <c r="BN439" s="226"/>
      <c r="BO439" s="226"/>
      <c r="BP439" s="226"/>
      <c r="BQ439" s="226"/>
      <c r="BR439" s="226"/>
      <c r="BS439" s="226"/>
      <c r="BT439" s="226"/>
      <c r="BU439" s="226"/>
      <c r="BV439" s="226"/>
      <c r="BW439" s="226"/>
      <c r="BX439" s="226"/>
      <c r="BY439" s="226"/>
      <c r="BZ439" s="226"/>
      <c r="CA439" s="226"/>
      <c r="CB439" s="226"/>
      <c r="CC439" s="226"/>
      <c r="CD439" s="226"/>
      <c r="CE439" s="226"/>
      <c r="CF439" s="226"/>
      <c r="CG439" s="226"/>
      <c r="CH439" s="226"/>
      <c r="CI439" s="226"/>
      <c r="CJ439" s="226"/>
      <c r="CK439" s="226"/>
      <c r="CL439" s="226"/>
      <c r="CM439" s="226"/>
      <c r="CN439" s="226"/>
      <c r="CO439" s="226"/>
      <c r="CP439" s="226"/>
      <c r="CQ439" s="226"/>
      <c r="CR439" s="226"/>
      <c r="CS439" s="226"/>
      <c r="CT439" s="226"/>
      <c r="CU439" s="226"/>
      <c r="CV439" s="226"/>
      <c r="CW439" s="226"/>
      <c r="CX439" s="226"/>
      <c r="CY439" s="226"/>
      <c r="CZ439" s="226"/>
      <c r="DA439" s="226"/>
      <c r="DB439" s="226"/>
      <c r="DC439" s="226"/>
      <c r="DD439" s="226"/>
      <c r="DE439" s="226"/>
      <c r="DF439" s="226"/>
      <c r="DG439" s="226"/>
      <c r="DH439" s="226"/>
      <c r="DI439" s="226"/>
      <c r="DJ439" s="226"/>
      <c r="DK439" s="226"/>
      <c r="DL439" s="226"/>
      <c r="DM439" s="226"/>
      <c r="DN439" s="226"/>
      <c r="DO439" s="226"/>
      <c r="DP439" s="226"/>
      <c r="DQ439" s="226"/>
      <c r="DR439" s="226"/>
    </row>
    <row r="440" spans="21:122" s="227" customFormat="1" x14ac:dyDescent="0.15">
      <c r="U440" s="226"/>
      <c r="V440" s="226"/>
      <c r="W440" s="226"/>
      <c r="X440" s="226"/>
      <c r="Y440" s="226"/>
      <c r="Z440" s="226"/>
      <c r="AA440" s="226"/>
      <c r="AB440" s="226"/>
      <c r="AC440" s="226"/>
      <c r="AD440" s="226"/>
      <c r="AE440" s="226"/>
      <c r="AF440" s="226"/>
      <c r="AG440" s="226"/>
      <c r="AH440" s="226"/>
      <c r="AI440" s="226"/>
      <c r="AJ440" s="226"/>
      <c r="AK440" s="226"/>
      <c r="AL440" s="226"/>
      <c r="AM440" s="226"/>
      <c r="AN440" s="226"/>
      <c r="AO440" s="226"/>
      <c r="AP440" s="226"/>
      <c r="AQ440" s="226"/>
      <c r="AR440" s="226"/>
      <c r="AS440" s="226"/>
      <c r="AT440" s="226"/>
      <c r="AU440" s="226"/>
      <c r="AV440" s="226"/>
      <c r="AW440" s="226"/>
      <c r="AX440" s="226"/>
      <c r="AY440" s="226"/>
      <c r="AZ440" s="226"/>
      <c r="BA440" s="226"/>
      <c r="BB440" s="226"/>
      <c r="BC440" s="226"/>
      <c r="BD440" s="226"/>
      <c r="BE440" s="226"/>
      <c r="BF440" s="226"/>
      <c r="BG440" s="226"/>
      <c r="BH440" s="226"/>
      <c r="BI440" s="226"/>
      <c r="BJ440" s="226"/>
      <c r="BK440" s="226"/>
      <c r="BL440" s="226"/>
      <c r="BM440" s="226"/>
      <c r="BN440" s="226"/>
      <c r="BO440" s="226"/>
      <c r="BP440" s="226"/>
      <c r="BQ440" s="226"/>
      <c r="BR440" s="226"/>
      <c r="BS440" s="226"/>
      <c r="BT440" s="226"/>
      <c r="BU440" s="226"/>
      <c r="BV440" s="226"/>
      <c r="BW440" s="226"/>
      <c r="BX440" s="226"/>
      <c r="BY440" s="226"/>
      <c r="BZ440" s="226"/>
      <c r="CA440" s="226"/>
      <c r="CB440" s="226"/>
      <c r="CC440" s="226"/>
      <c r="CD440" s="226"/>
      <c r="CE440" s="226"/>
      <c r="CF440" s="226"/>
      <c r="CG440" s="226"/>
      <c r="CH440" s="226"/>
      <c r="CI440" s="226"/>
      <c r="CJ440" s="226"/>
      <c r="CK440" s="226"/>
      <c r="CL440" s="226"/>
      <c r="CM440" s="226"/>
      <c r="CN440" s="226"/>
      <c r="CO440" s="226"/>
      <c r="CP440" s="226"/>
      <c r="CQ440" s="226"/>
      <c r="CR440" s="226"/>
      <c r="CS440" s="226"/>
      <c r="CT440" s="226"/>
      <c r="CU440" s="226"/>
      <c r="CV440" s="226"/>
      <c r="CW440" s="226"/>
      <c r="CX440" s="226"/>
      <c r="CY440" s="226"/>
      <c r="CZ440" s="226"/>
      <c r="DA440" s="226"/>
      <c r="DB440" s="226"/>
      <c r="DC440" s="226"/>
      <c r="DD440" s="226"/>
      <c r="DE440" s="226"/>
      <c r="DF440" s="226"/>
      <c r="DG440" s="226"/>
      <c r="DH440" s="226"/>
      <c r="DI440" s="226"/>
      <c r="DJ440" s="226"/>
      <c r="DK440" s="226"/>
      <c r="DL440" s="226"/>
      <c r="DM440" s="226"/>
      <c r="DN440" s="226"/>
      <c r="DO440" s="226"/>
      <c r="DP440" s="226"/>
      <c r="DQ440" s="226"/>
      <c r="DR440" s="226"/>
    </row>
    <row r="441" spans="21:122" s="227" customFormat="1" x14ac:dyDescent="0.15">
      <c r="U441" s="226"/>
      <c r="V441" s="226"/>
      <c r="W441" s="226"/>
      <c r="X441" s="226"/>
      <c r="Y441" s="226"/>
      <c r="Z441" s="226"/>
      <c r="AA441" s="226"/>
      <c r="AB441" s="226"/>
      <c r="AC441" s="226"/>
      <c r="AD441" s="226"/>
      <c r="AE441" s="226"/>
      <c r="AF441" s="226"/>
      <c r="AG441" s="226"/>
      <c r="AH441" s="226"/>
      <c r="AI441" s="226"/>
      <c r="AJ441" s="226"/>
      <c r="AK441" s="226"/>
      <c r="AL441" s="226"/>
      <c r="AM441" s="226"/>
      <c r="AN441" s="226"/>
      <c r="AO441" s="226"/>
      <c r="AP441" s="226"/>
      <c r="AQ441" s="226"/>
      <c r="AR441" s="226"/>
      <c r="AS441" s="226"/>
      <c r="AT441" s="226"/>
      <c r="AU441" s="226"/>
      <c r="AV441" s="226"/>
      <c r="AW441" s="226"/>
      <c r="AX441" s="226"/>
      <c r="AY441" s="226"/>
      <c r="AZ441" s="226"/>
      <c r="BA441" s="226"/>
      <c r="BB441" s="226"/>
      <c r="BC441" s="226"/>
      <c r="BD441" s="226"/>
      <c r="BE441" s="226"/>
      <c r="BF441" s="226"/>
      <c r="BG441" s="226"/>
      <c r="BH441" s="226"/>
      <c r="BI441" s="226"/>
      <c r="BJ441" s="226"/>
      <c r="BK441" s="226"/>
      <c r="BL441" s="226"/>
      <c r="BM441" s="226"/>
      <c r="BN441" s="226"/>
      <c r="BO441" s="226"/>
      <c r="BP441" s="226"/>
      <c r="BQ441" s="226"/>
      <c r="BR441" s="226"/>
      <c r="BS441" s="226"/>
      <c r="BT441" s="226"/>
      <c r="BU441" s="226"/>
      <c r="BV441" s="226"/>
      <c r="BW441" s="226"/>
      <c r="BX441" s="226"/>
      <c r="BY441" s="226"/>
      <c r="BZ441" s="226"/>
      <c r="CA441" s="226"/>
      <c r="CB441" s="226"/>
      <c r="CC441" s="226"/>
      <c r="CD441" s="226"/>
      <c r="CE441" s="226"/>
      <c r="CF441" s="226"/>
      <c r="CG441" s="226"/>
      <c r="CH441" s="226"/>
      <c r="CI441" s="226"/>
      <c r="CJ441" s="226"/>
      <c r="CK441" s="226"/>
      <c r="CL441" s="226"/>
      <c r="CM441" s="226"/>
      <c r="CN441" s="226"/>
      <c r="CO441" s="226"/>
      <c r="CP441" s="226"/>
      <c r="CQ441" s="226"/>
      <c r="CR441" s="226"/>
      <c r="CS441" s="226"/>
      <c r="CT441" s="226"/>
      <c r="CU441" s="226"/>
      <c r="CV441" s="226"/>
      <c r="CW441" s="226"/>
      <c r="CX441" s="226"/>
      <c r="CY441" s="226"/>
      <c r="CZ441" s="226"/>
      <c r="DA441" s="226"/>
      <c r="DB441" s="226"/>
      <c r="DC441" s="226"/>
      <c r="DD441" s="226"/>
      <c r="DE441" s="226"/>
      <c r="DF441" s="226"/>
      <c r="DG441" s="226"/>
      <c r="DH441" s="226"/>
      <c r="DI441" s="226"/>
      <c r="DJ441" s="226"/>
      <c r="DK441" s="226"/>
      <c r="DL441" s="226"/>
      <c r="DM441" s="226"/>
      <c r="DN441" s="226"/>
      <c r="DO441" s="226"/>
      <c r="DP441" s="226"/>
      <c r="DQ441" s="226"/>
      <c r="DR441" s="226"/>
    </row>
    <row r="442" spans="21:122" s="227" customFormat="1" x14ac:dyDescent="0.15">
      <c r="U442" s="226"/>
      <c r="V442" s="226"/>
      <c r="W442" s="226"/>
      <c r="X442" s="226"/>
      <c r="Y442" s="226"/>
      <c r="Z442" s="226"/>
      <c r="AA442" s="226"/>
      <c r="AB442" s="226"/>
      <c r="AC442" s="226"/>
      <c r="AD442" s="226"/>
      <c r="AE442" s="226"/>
      <c r="AF442" s="226"/>
      <c r="AG442" s="226"/>
      <c r="AH442" s="226"/>
      <c r="AI442" s="226"/>
      <c r="AJ442" s="226"/>
      <c r="AK442" s="226"/>
      <c r="AL442" s="226"/>
      <c r="AM442" s="226"/>
      <c r="AN442" s="226"/>
      <c r="AO442" s="226"/>
      <c r="AP442" s="226"/>
      <c r="AQ442" s="226"/>
      <c r="AR442" s="226"/>
      <c r="AS442" s="226"/>
      <c r="AT442" s="226"/>
      <c r="AU442" s="226"/>
      <c r="AV442" s="226"/>
      <c r="AW442" s="226"/>
      <c r="AX442" s="226"/>
      <c r="AY442" s="226"/>
      <c r="AZ442" s="226"/>
      <c r="BA442" s="226"/>
      <c r="BB442" s="226"/>
      <c r="BC442" s="226"/>
      <c r="BD442" s="226"/>
      <c r="BE442" s="226"/>
      <c r="BF442" s="226"/>
      <c r="BG442" s="226"/>
      <c r="BH442" s="226"/>
      <c r="BI442" s="226"/>
      <c r="BJ442" s="226"/>
      <c r="BK442" s="226"/>
      <c r="BL442" s="226"/>
      <c r="BM442" s="226"/>
      <c r="BN442" s="226"/>
      <c r="BO442" s="226"/>
      <c r="BP442" s="226"/>
      <c r="BQ442" s="226"/>
      <c r="BR442" s="226"/>
      <c r="BS442" s="226"/>
      <c r="BT442" s="226"/>
      <c r="BU442" s="226"/>
      <c r="BV442" s="226"/>
      <c r="BW442" s="226"/>
      <c r="BX442" s="226"/>
      <c r="BY442" s="226"/>
      <c r="BZ442" s="226"/>
      <c r="CA442" s="226"/>
      <c r="CB442" s="226"/>
      <c r="CC442" s="226"/>
      <c r="CD442" s="226"/>
      <c r="CE442" s="226"/>
      <c r="CF442" s="226"/>
      <c r="CG442" s="226"/>
      <c r="CH442" s="226"/>
      <c r="CI442" s="226"/>
      <c r="CJ442" s="226"/>
      <c r="CK442" s="226"/>
      <c r="CL442" s="226"/>
      <c r="CM442" s="226"/>
      <c r="CN442" s="226"/>
      <c r="CO442" s="226"/>
      <c r="CP442" s="226"/>
      <c r="CQ442" s="226"/>
      <c r="CR442" s="226"/>
      <c r="CS442" s="226"/>
      <c r="CT442" s="226"/>
      <c r="CU442" s="226"/>
      <c r="CV442" s="226"/>
      <c r="CW442" s="226"/>
      <c r="CX442" s="226"/>
      <c r="CY442" s="226"/>
      <c r="CZ442" s="226"/>
      <c r="DA442" s="226"/>
      <c r="DB442" s="226"/>
      <c r="DC442" s="226"/>
      <c r="DD442" s="226"/>
      <c r="DE442" s="226"/>
      <c r="DF442" s="226"/>
      <c r="DG442" s="226"/>
      <c r="DH442" s="226"/>
      <c r="DI442" s="226"/>
      <c r="DJ442" s="226"/>
      <c r="DK442" s="226"/>
      <c r="DL442" s="226"/>
      <c r="DM442" s="226"/>
      <c r="DN442" s="226"/>
      <c r="DO442" s="226"/>
      <c r="DP442" s="226"/>
      <c r="DQ442" s="226"/>
      <c r="DR442" s="226"/>
    </row>
    <row r="443" spans="21:122" s="227" customFormat="1" x14ac:dyDescent="0.15">
      <c r="U443" s="226"/>
      <c r="V443" s="226"/>
      <c r="W443" s="226"/>
      <c r="X443" s="226"/>
      <c r="Y443" s="226"/>
      <c r="Z443" s="226"/>
      <c r="AA443" s="226"/>
      <c r="AB443" s="226"/>
      <c r="AC443" s="226"/>
      <c r="AD443" s="226"/>
      <c r="AE443" s="226"/>
      <c r="AF443" s="226"/>
      <c r="AG443" s="226"/>
      <c r="AH443" s="226"/>
      <c r="AI443" s="226"/>
      <c r="AJ443" s="226"/>
      <c r="AK443" s="226"/>
      <c r="AL443" s="226"/>
      <c r="AM443" s="226"/>
      <c r="AN443" s="226"/>
      <c r="AO443" s="226"/>
      <c r="AP443" s="226"/>
      <c r="AQ443" s="226"/>
      <c r="AR443" s="226"/>
      <c r="AS443" s="226"/>
      <c r="AT443" s="226"/>
      <c r="AU443" s="226"/>
      <c r="AV443" s="226"/>
      <c r="AW443" s="226"/>
      <c r="AX443" s="226"/>
      <c r="AY443" s="226"/>
      <c r="AZ443" s="226"/>
      <c r="BA443" s="226"/>
      <c r="BB443" s="226"/>
      <c r="BC443" s="226"/>
      <c r="BD443" s="226"/>
      <c r="BE443" s="226"/>
      <c r="BF443" s="226"/>
      <c r="BG443" s="226"/>
      <c r="BH443" s="226"/>
      <c r="BI443" s="226"/>
      <c r="BJ443" s="226"/>
      <c r="BK443" s="226"/>
      <c r="BL443" s="226"/>
      <c r="BM443" s="226"/>
      <c r="BN443" s="226"/>
      <c r="BO443" s="226"/>
      <c r="BP443" s="226"/>
      <c r="BQ443" s="226"/>
      <c r="BR443" s="226"/>
      <c r="BS443" s="226"/>
      <c r="BT443" s="226"/>
      <c r="BU443" s="226"/>
      <c r="BV443" s="226"/>
      <c r="BW443" s="226"/>
      <c r="BX443" s="226"/>
      <c r="BY443" s="226"/>
      <c r="BZ443" s="226"/>
      <c r="CA443" s="226"/>
      <c r="CB443" s="226"/>
      <c r="CC443" s="226"/>
      <c r="CD443" s="226"/>
      <c r="CE443" s="226"/>
      <c r="CF443" s="226"/>
      <c r="CG443" s="226"/>
      <c r="CH443" s="226"/>
      <c r="CI443" s="226"/>
      <c r="CJ443" s="226"/>
      <c r="CK443" s="226"/>
      <c r="CL443" s="226"/>
      <c r="CM443" s="226"/>
      <c r="CN443" s="226"/>
      <c r="CO443" s="226"/>
      <c r="CP443" s="226"/>
      <c r="CQ443" s="226"/>
      <c r="CR443" s="226"/>
      <c r="CS443" s="226"/>
      <c r="CT443" s="226"/>
      <c r="CU443" s="226"/>
      <c r="CV443" s="226"/>
      <c r="CW443" s="226"/>
      <c r="CX443" s="226"/>
      <c r="CY443" s="226"/>
      <c r="CZ443" s="226"/>
      <c r="DA443" s="226"/>
      <c r="DB443" s="226"/>
      <c r="DC443" s="226"/>
      <c r="DD443" s="226"/>
      <c r="DE443" s="226"/>
      <c r="DF443" s="226"/>
      <c r="DG443" s="226"/>
      <c r="DH443" s="226"/>
      <c r="DI443" s="226"/>
      <c r="DJ443" s="226"/>
      <c r="DK443" s="226"/>
      <c r="DL443" s="226"/>
      <c r="DM443" s="226"/>
      <c r="DN443" s="226"/>
      <c r="DO443" s="226"/>
      <c r="DP443" s="226"/>
      <c r="DQ443" s="226"/>
      <c r="DR443" s="226"/>
    </row>
    <row r="444" spans="21:122" s="227" customFormat="1" x14ac:dyDescent="0.15">
      <c r="U444" s="226"/>
      <c r="V444" s="226"/>
      <c r="W444" s="226"/>
      <c r="X444" s="226"/>
      <c r="Y444" s="226"/>
      <c r="Z444" s="226"/>
      <c r="AA444" s="226"/>
      <c r="AB444" s="226"/>
      <c r="AC444" s="226"/>
      <c r="AD444" s="226"/>
      <c r="AE444" s="226"/>
      <c r="AF444" s="226"/>
      <c r="AG444" s="226"/>
      <c r="AH444" s="226"/>
      <c r="AI444" s="226"/>
      <c r="AJ444" s="226"/>
      <c r="AK444" s="226"/>
      <c r="AL444" s="226"/>
      <c r="AM444" s="226"/>
      <c r="AN444" s="226"/>
      <c r="AO444" s="226"/>
      <c r="AP444" s="226"/>
      <c r="AQ444" s="226"/>
      <c r="AR444" s="226"/>
      <c r="AS444" s="226"/>
      <c r="AT444" s="226"/>
      <c r="AU444" s="226"/>
      <c r="AV444" s="226"/>
      <c r="AW444" s="226"/>
      <c r="AX444" s="226"/>
      <c r="AY444" s="226"/>
      <c r="AZ444" s="226"/>
      <c r="BA444" s="226"/>
      <c r="BB444" s="226"/>
      <c r="BC444" s="226"/>
      <c r="BD444" s="226"/>
      <c r="BE444" s="226"/>
      <c r="BF444" s="226"/>
      <c r="BG444" s="226"/>
      <c r="BH444" s="226"/>
      <c r="BI444" s="226"/>
      <c r="BJ444" s="226"/>
      <c r="BK444" s="226"/>
      <c r="BL444" s="226"/>
      <c r="BM444" s="226"/>
      <c r="BN444" s="226"/>
      <c r="BO444" s="226"/>
      <c r="BP444" s="226"/>
      <c r="BQ444" s="226"/>
      <c r="BR444" s="226"/>
      <c r="BS444" s="226"/>
      <c r="BT444" s="226"/>
      <c r="BU444" s="226"/>
      <c r="BV444" s="226"/>
      <c r="BW444" s="226"/>
      <c r="BX444" s="226"/>
      <c r="BY444" s="226"/>
      <c r="BZ444" s="226"/>
      <c r="CA444" s="226"/>
      <c r="CB444" s="226"/>
      <c r="CC444" s="226"/>
      <c r="CD444" s="226"/>
      <c r="CE444" s="226"/>
      <c r="CF444" s="226"/>
      <c r="CG444" s="226"/>
      <c r="CH444" s="226"/>
      <c r="CI444" s="226"/>
      <c r="CJ444" s="226"/>
      <c r="CK444" s="226"/>
      <c r="CL444" s="226"/>
      <c r="CM444" s="226"/>
      <c r="CN444" s="226"/>
      <c r="CO444" s="226"/>
      <c r="CP444" s="226"/>
      <c r="CQ444" s="226"/>
      <c r="CR444" s="226"/>
      <c r="CS444" s="226"/>
      <c r="CT444" s="226"/>
      <c r="CU444" s="226"/>
      <c r="CV444" s="226"/>
      <c r="CW444" s="226"/>
      <c r="CX444" s="226"/>
      <c r="CY444" s="226"/>
      <c r="CZ444" s="226"/>
      <c r="DA444" s="226"/>
      <c r="DB444" s="226"/>
      <c r="DC444" s="226"/>
      <c r="DD444" s="226"/>
      <c r="DE444" s="226"/>
      <c r="DF444" s="226"/>
      <c r="DG444" s="226"/>
      <c r="DH444" s="226"/>
      <c r="DI444" s="226"/>
      <c r="DJ444" s="226"/>
      <c r="DK444" s="226"/>
      <c r="DL444" s="226"/>
      <c r="DM444" s="226"/>
      <c r="DN444" s="226"/>
      <c r="DO444" s="226"/>
      <c r="DP444" s="226"/>
      <c r="DQ444" s="226"/>
      <c r="DR444" s="226"/>
    </row>
    <row r="445" spans="21:122" s="227" customFormat="1" x14ac:dyDescent="0.15">
      <c r="U445" s="226"/>
      <c r="V445" s="226"/>
      <c r="W445" s="226"/>
      <c r="X445" s="226"/>
      <c r="Y445" s="226"/>
      <c r="Z445" s="226"/>
      <c r="AA445" s="226"/>
      <c r="AB445" s="226"/>
      <c r="AC445" s="226"/>
      <c r="AD445" s="226"/>
      <c r="AE445" s="226"/>
      <c r="AF445" s="226"/>
      <c r="AG445" s="226"/>
      <c r="AH445" s="226"/>
      <c r="AI445" s="226"/>
      <c r="AJ445" s="226"/>
      <c r="AK445" s="226"/>
      <c r="AL445" s="226"/>
      <c r="AM445" s="226"/>
      <c r="AN445" s="226"/>
      <c r="AO445" s="226"/>
      <c r="AP445" s="226"/>
      <c r="AQ445" s="226"/>
      <c r="AR445" s="226"/>
      <c r="AS445" s="226"/>
      <c r="AT445" s="226"/>
      <c r="AU445" s="226"/>
      <c r="AV445" s="226"/>
      <c r="AW445" s="226"/>
      <c r="AX445" s="226"/>
      <c r="AY445" s="226"/>
      <c r="AZ445" s="226"/>
      <c r="BA445" s="226"/>
      <c r="BB445" s="226"/>
      <c r="BC445" s="226"/>
      <c r="BD445" s="226"/>
      <c r="BE445" s="226"/>
      <c r="BF445" s="226"/>
      <c r="BG445" s="226"/>
      <c r="BH445" s="226"/>
      <c r="BI445" s="226"/>
      <c r="BJ445" s="226"/>
      <c r="BK445" s="226"/>
      <c r="BL445" s="226"/>
      <c r="BM445" s="226"/>
      <c r="BN445" s="226"/>
      <c r="BO445" s="226"/>
      <c r="BP445" s="226"/>
      <c r="BQ445" s="226"/>
      <c r="BR445" s="226"/>
      <c r="BS445" s="226"/>
      <c r="BT445" s="226"/>
      <c r="BU445" s="226"/>
      <c r="BV445" s="226"/>
      <c r="BW445" s="226"/>
      <c r="BX445" s="226"/>
      <c r="BY445" s="226"/>
      <c r="BZ445" s="226"/>
      <c r="CA445" s="226"/>
      <c r="CB445" s="226"/>
      <c r="CC445" s="226"/>
      <c r="CD445" s="226"/>
      <c r="CE445" s="226"/>
      <c r="CF445" s="226"/>
      <c r="CG445" s="226"/>
      <c r="CH445" s="226"/>
      <c r="CI445" s="226"/>
      <c r="CJ445" s="226"/>
      <c r="CK445" s="226"/>
      <c r="CL445" s="226"/>
      <c r="CM445" s="226"/>
      <c r="CN445" s="226"/>
      <c r="CO445" s="226"/>
      <c r="CP445" s="226"/>
      <c r="CQ445" s="226"/>
      <c r="CR445" s="226"/>
      <c r="CS445" s="226"/>
      <c r="CT445" s="226"/>
      <c r="CU445" s="226"/>
      <c r="CV445" s="226"/>
      <c r="CW445" s="226"/>
      <c r="CX445" s="226"/>
      <c r="CY445" s="226"/>
      <c r="CZ445" s="226"/>
      <c r="DA445" s="226"/>
      <c r="DB445" s="226"/>
      <c r="DC445" s="226"/>
      <c r="DD445" s="226"/>
      <c r="DE445" s="226"/>
      <c r="DF445" s="226"/>
      <c r="DG445" s="226"/>
      <c r="DH445" s="226"/>
      <c r="DI445" s="226"/>
      <c r="DJ445" s="226"/>
      <c r="DK445" s="226"/>
      <c r="DL445" s="226"/>
      <c r="DM445" s="226"/>
      <c r="DN445" s="226"/>
      <c r="DO445" s="226"/>
      <c r="DP445" s="226"/>
      <c r="DQ445" s="226"/>
      <c r="DR445" s="226"/>
    </row>
    <row r="446" spans="21:122" s="227" customFormat="1" x14ac:dyDescent="0.15">
      <c r="U446" s="226"/>
      <c r="V446" s="226"/>
      <c r="W446" s="226"/>
      <c r="X446" s="226"/>
      <c r="Y446" s="226"/>
      <c r="Z446" s="226"/>
      <c r="AA446" s="226"/>
      <c r="AB446" s="226"/>
      <c r="AC446" s="226"/>
      <c r="AD446" s="226"/>
      <c r="AE446" s="226"/>
      <c r="AF446" s="226"/>
      <c r="AG446" s="226"/>
      <c r="AH446" s="226"/>
      <c r="AI446" s="226"/>
      <c r="AJ446" s="226"/>
      <c r="AK446" s="226"/>
      <c r="AL446" s="226"/>
      <c r="AM446" s="226"/>
      <c r="AN446" s="226"/>
      <c r="AO446" s="226"/>
      <c r="AP446" s="226"/>
      <c r="AQ446" s="226"/>
      <c r="AR446" s="226"/>
      <c r="AS446" s="226"/>
      <c r="AT446" s="226"/>
      <c r="AU446" s="226"/>
      <c r="AV446" s="226"/>
      <c r="AW446" s="226"/>
      <c r="AX446" s="226"/>
      <c r="AY446" s="226"/>
      <c r="AZ446" s="226"/>
      <c r="BA446" s="226"/>
      <c r="BB446" s="226"/>
      <c r="BC446" s="226"/>
      <c r="BD446" s="226"/>
      <c r="BE446" s="226"/>
      <c r="BF446" s="226"/>
      <c r="BG446" s="226"/>
      <c r="BH446" s="226"/>
      <c r="BI446" s="226"/>
      <c r="BJ446" s="226"/>
      <c r="BK446" s="226"/>
      <c r="BL446" s="226"/>
      <c r="BM446" s="226"/>
      <c r="BN446" s="226"/>
      <c r="BO446" s="226"/>
      <c r="BP446" s="226"/>
      <c r="BQ446" s="226"/>
      <c r="BR446" s="226"/>
      <c r="BS446" s="226"/>
      <c r="BT446" s="226"/>
      <c r="BU446" s="226"/>
      <c r="BV446" s="226"/>
      <c r="BW446" s="226"/>
      <c r="BX446" s="226"/>
      <c r="BY446" s="226"/>
      <c r="BZ446" s="226"/>
      <c r="CA446" s="226"/>
      <c r="CB446" s="226"/>
      <c r="CC446" s="226"/>
      <c r="CD446" s="226"/>
      <c r="CE446" s="226"/>
      <c r="CF446" s="226"/>
      <c r="CG446" s="226"/>
      <c r="CH446" s="226"/>
      <c r="CI446" s="226"/>
      <c r="CJ446" s="226"/>
      <c r="CK446" s="226"/>
      <c r="CL446" s="226"/>
      <c r="CM446" s="226"/>
      <c r="CN446" s="226"/>
      <c r="CO446" s="226"/>
      <c r="CP446" s="226"/>
      <c r="CQ446" s="226"/>
      <c r="CR446" s="226"/>
      <c r="CS446" s="226"/>
      <c r="CT446" s="226"/>
      <c r="CU446" s="226"/>
      <c r="CV446" s="226"/>
      <c r="CW446" s="226"/>
      <c r="CX446" s="226"/>
      <c r="CY446" s="226"/>
      <c r="CZ446" s="226"/>
      <c r="DA446" s="226"/>
      <c r="DB446" s="226"/>
      <c r="DC446" s="226"/>
      <c r="DD446" s="226"/>
      <c r="DE446" s="226"/>
      <c r="DF446" s="226"/>
      <c r="DG446" s="226"/>
      <c r="DH446" s="226"/>
      <c r="DI446" s="226"/>
      <c r="DJ446" s="226"/>
      <c r="DK446" s="226"/>
      <c r="DL446" s="226"/>
      <c r="DM446" s="226"/>
      <c r="DN446" s="226"/>
      <c r="DO446" s="226"/>
      <c r="DP446" s="226"/>
      <c r="DQ446" s="226"/>
      <c r="DR446" s="226"/>
    </row>
    <row r="447" spans="21:122" s="227" customFormat="1" x14ac:dyDescent="0.15">
      <c r="U447" s="226"/>
      <c r="V447" s="226"/>
      <c r="W447" s="226"/>
      <c r="X447" s="226"/>
      <c r="Y447" s="226"/>
      <c r="Z447" s="226"/>
      <c r="AA447" s="226"/>
      <c r="AB447" s="226"/>
      <c r="AC447" s="226"/>
      <c r="AD447" s="226"/>
      <c r="AE447" s="226"/>
      <c r="AF447" s="226"/>
      <c r="AG447" s="226"/>
      <c r="AH447" s="226"/>
      <c r="AI447" s="226"/>
      <c r="AJ447" s="226"/>
      <c r="AK447" s="226"/>
      <c r="AL447" s="226"/>
      <c r="AM447" s="226"/>
      <c r="AN447" s="226"/>
      <c r="AO447" s="226"/>
      <c r="AP447" s="226"/>
      <c r="AQ447" s="226"/>
      <c r="AR447" s="226"/>
      <c r="AS447" s="226"/>
      <c r="AT447" s="226"/>
      <c r="AU447" s="226"/>
      <c r="AV447" s="226"/>
      <c r="AW447" s="226"/>
      <c r="AX447" s="226"/>
      <c r="AY447" s="226"/>
      <c r="AZ447" s="226"/>
      <c r="BA447" s="226"/>
      <c r="BB447" s="226"/>
      <c r="BC447" s="226"/>
      <c r="BD447" s="226"/>
      <c r="BE447" s="226"/>
      <c r="BF447" s="226"/>
      <c r="BG447" s="226"/>
      <c r="BH447" s="226"/>
      <c r="BI447" s="226"/>
      <c r="BJ447" s="226"/>
      <c r="BK447" s="226"/>
      <c r="BL447" s="226"/>
      <c r="BM447" s="226"/>
      <c r="BN447" s="226"/>
      <c r="BO447" s="226"/>
      <c r="BP447" s="226"/>
      <c r="BQ447" s="226"/>
      <c r="BR447" s="226"/>
      <c r="BS447" s="226"/>
      <c r="BT447" s="226"/>
      <c r="BU447" s="226"/>
      <c r="BV447" s="226"/>
      <c r="BW447" s="226"/>
      <c r="BX447" s="226"/>
      <c r="BY447" s="226"/>
      <c r="BZ447" s="226"/>
      <c r="CA447" s="226"/>
      <c r="CB447" s="226"/>
      <c r="CC447" s="226"/>
      <c r="CD447" s="226"/>
      <c r="CE447" s="226"/>
      <c r="CF447" s="226"/>
      <c r="CG447" s="226"/>
      <c r="CH447" s="226"/>
      <c r="CI447" s="226"/>
      <c r="CJ447" s="226"/>
      <c r="CK447" s="226"/>
      <c r="CL447" s="226"/>
      <c r="CM447" s="226"/>
      <c r="CN447" s="226"/>
      <c r="CO447" s="226"/>
      <c r="CP447" s="226"/>
      <c r="CQ447" s="226"/>
      <c r="CR447" s="226"/>
      <c r="CS447" s="226"/>
      <c r="CT447" s="226"/>
      <c r="CU447" s="226"/>
      <c r="CV447" s="226"/>
      <c r="CW447" s="226"/>
      <c r="CX447" s="226"/>
      <c r="CY447" s="226"/>
      <c r="CZ447" s="226"/>
      <c r="DA447" s="226"/>
      <c r="DB447" s="226"/>
      <c r="DC447" s="226"/>
      <c r="DD447" s="226"/>
      <c r="DE447" s="226"/>
      <c r="DF447" s="226"/>
      <c r="DG447" s="226"/>
      <c r="DH447" s="226"/>
      <c r="DI447" s="226"/>
      <c r="DJ447" s="226"/>
      <c r="DK447" s="226"/>
      <c r="DL447" s="226"/>
      <c r="DM447" s="226"/>
      <c r="DN447" s="226"/>
      <c r="DO447" s="226"/>
      <c r="DP447" s="226"/>
      <c r="DQ447" s="226"/>
      <c r="DR447" s="226"/>
    </row>
    <row r="448" spans="21:122" s="227" customFormat="1" x14ac:dyDescent="0.15">
      <c r="U448" s="226"/>
      <c r="V448" s="226"/>
      <c r="W448" s="226"/>
      <c r="X448" s="226"/>
      <c r="Y448" s="226"/>
      <c r="Z448" s="226"/>
      <c r="AA448" s="226"/>
      <c r="AB448" s="226"/>
      <c r="AC448" s="226"/>
      <c r="AD448" s="226"/>
      <c r="AE448" s="226"/>
      <c r="AF448" s="226"/>
      <c r="AG448" s="226"/>
      <c r="AH448" s="226"/>
      <c r="AI448" s="226"/>
      <c r="AJ448" s="226"/>
      <c r="AK448" s="226"/>
      <c r="AL448" s="226"/>
      <c r="AM448" s="226"/>
      <c r="AN448" s="226"/>
      <c r="AO448" s="226"/>
      <c r="AP448" s="226"/>
      <c r="AQ448" s="226"/>
      <c r="AR448" s="226"/>
      <c r="AS448" s="226"/>
      <c r="AT448" s="226"/>
      <c r="AU448" s="226"/>
      <c r="AV448" s="226"/>
      <c r="AW448" s="226"/>
      <c r="AX448" s="226"/>
      <c r="AY448" s="226"/>
      <c r="AZ448" s="226"/>
      <c r="BA448" s="226"/>
      <c r="BB448" s="226"/>
      <c r="BC448" s="226"/>
      <c r="BD448" s="226"/>
      <c r="BE448" s="226"/>
      <c r="BF448" s="226"/>
      <c r="BG448" s="226"/>
      <c r="BH448" s="226"/>
      <c r="BI448" s="226"/>
      <c r="BJ448" s="226"/>
      <c r="BK448" s="226"/>
      <c r="BL448" s="226"/>
      <c r="BM448" s="226"/>
      <c r="BN448" s="226"/>
      <c r="BO448" s="226"/>
      <c r="BP448" s="226"/>
      <c r="BQ448" s="226"/>
      <c r="BR448" s="226"/>
      <c r="BS448" s="226"/>
      <c r="BT448" s="226"/>
      <c r="BU448" s="226"/>
      <c r="BV448" s="226"/>
      <c r="BW448" s="226"/>
      <c r="BX448" s="226"/>
      <c r="BY448" s="226"/>
      <c r="BZ448" s="226"/>
      <c r="CA448" s="226"/>
      <c r="CB448" s="226"/>
      <c r="CC448" s="226"/>
      <c r="CD448" s="226"/>
      <c r="CE448" s="226"/>
      <c r="CF448" s="226"/>
      <c r="CG448" s="226"/>
      <c r="CH448" s="226"/>
      <c r="CI448" s="226"/>
      <c r="CJ448" s="226"/>
      <c r="CK448" s="226"/>
      <c r="CL448" s="226"/>
      <c r="CM448" s="226"/>
      <c r="CN448" s="226"/>
      <c r="CO448" s="226"/>
      <c r="CP448" s="226"/>
      <c r="CQ448" s="226"/>
      <c r="CR448" s="226"/>
      <c r="CS448" s="226"/>
      <c r="CT448" s="226"/>
      <c r="CU448" s="226"/>
      <c r="CV448" s="226"/>
      <c r="CW448" s="226"/>
      <c r="CX448" s="226"/>
      <c r="CY448" s="226"/>
      <c r="CZ448" s="226"/>
      <c r="DA448" s="226"/>
      <c r="DB448" s="226"/>
      <c r="DC448" s="226"/>
      <c r="DD448" s="226"/>
      <c r="DE448" s="226"/>
      <c r="DF448" s="226"/>
      <c r="DG448" s="226"/>
      <c r="DH448" s="226"/>
      <c r="DI448" s="226"/>
      <c r="DJ448" s="226"/>
      <c r="DK448" s="226"/>
      <c r="DL448" s="226"/>
      <c r="DM448" s="226"/>
      <c r="DN448" s="226"/>
      <c r="DO448" s="226"/>
      <c r="DP448" s="226"/>
      <c r="DQ448" s="226"/>
      <c r="DR448" s="226"/>
    </row>
  </sheetData>
  <sheetProtection algorithmName="SHA-512" hashValue="0r+w3g3i7WIV+gnj2WTHAoey3jajrkdMxKtfkvoAvRlUlECjSuLQ0z7VYuhJjKg+YfT6/lFNUpY7zQvF1uH+0g==" saltValue="3DivNX8ozktQ0kGAbTA7Dg==" spinCount="100000" sheet="1" objects="1" scenarios="1"/>
  <conditionalFormatting sqref="A8:T22 A31:T44 A53:T67">
    <cfRule type="expression" dxfId="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6" max="16383" man="1" pt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2BD5A-37F0-2745-9902-D0C3215C6ACA}">
  <sheetPr codeName="Sheet8">
    <tabColor theme="8" tint="0.79998168889431442"/>
  </sheetPr>
  <dimension ref="A1:CD444"/>
  <sheetViews>
    <sheetView topLeftCell="A13" zoomScale="81" zoomScaleNormal="125" zoomScalePageLayoutView="125" workbookViewId="0">
      <selection activeCell="C44" activeCellId="2" sqref="C5 C24:C26 C44:C46"/>
    </sheetView>
  </sheetViews>
  <sheetFormatPr baseColWidth="10" defaultRowHeight="13" x14ac:dyDescent="0.15"/>
  <cols>
    <col min="1" max="2" width="20.33203125" style="212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27" customWidth="1"/>
    <col min="50" max="82" width="10.83203125" style="227"/>
    <col min="83" max="16384" width="10.83203125" style="212"/>
  </cols>
  <sheetData>
    <row r="1" spans="1:82" s="227" customFormat="1" ht="14" x14ac:dyDescent="0.15">
      <c r="A1" s="245" t="s">
        <v>31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</row>
    <row r="2" spans="1:82" s="227" customFormat="1" ht="14" x14ac:dyDescent="0.15">
      <c r="A2" s="246" t="s">
        <v>236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</row>
    <row r="3" spans="1:82" s="227" customFormat="1" ht="15" thickBot="1" x14ac:dyDescent="0.2">
      <c r="A3" s="245"/>
      <c r="B3" s="245"/>
      <c r="C3" s="245"/>
      <c r="D3" s="245"/>
      <c r="E3" s="245"/>
      <c r="F3" s="245"/>
      <c r="G3" s="247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</row>
    <row r="4" spans="1:82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8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</row>
    <row r="5" spans="1:82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72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  <c r="AV5" s="245"/>
      <c r="AW5" s="245"/>
    </row>
    <row r="6" spans="1:82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72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245"/>
      <c r="AS6" s="245"/>
      <c r="AT6" s="245"/>
      <c r="AU6" s="245"/>
      <c r="AV6" s="245"/>
      <c r="AW6" s="245"/>
    </row>
    <row r="7" spans="1:82" ht="75" x14ac:dyDescent="0.15">
      <c r="A7" s="230" t="s">
        <v>216</v>
      </c>
      <c r="B7" s="231" t="s">
        <v>198</v>
      </c>
      <c r="C7" s="173" t="s">
        <v>199</v>
      </c>
      <c r="D7" s="173" t="s">
        <v>200</v>
      </c>
      <c r="E7" s="173" t="s">
        <v>201</v>
      </c>
      <c r="F7" s="230" t="s">
        <v>202</v>
      </c>
      <c r="G7" s="173" t="s">
        <v>163</v>
      </c>
      <c r="H7" s="232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</row>
    <row r="8" spans="1:82" ht="14" x14ac:dyDescent="0.15">
      <c r="A8" s="234" t="str">
        <f>'SA Apr 2017'!K2</f>
        <v>AGL</v>
      </c>
      <c r="B8" s="180" t="str">
        <f>'SA Apr 2017'!L2</f>
        <v xml:space="preserve">Business Savers </v>
      </c>
      <c r="C8" s="181">
        <f>91*'SA Apr 2017'!M2/100</f>
        <v>68.623099999999994</v>
      </c>
      <c r="D8" s="181">
        <f>IF($C$5&gt;='SA Apr 2017'!P2,('SA Apr 2017'!P2*'SA Apr 2017'!N2/100),('SA Bills April 2017'!$C$5*'SA Apr 2017'!N2/100))</f>
        <v>883.79999999999984</v>
      </c>
      <c r="E8" s="181">
        <v>0</v>
      </c>
      <c r="F8" s="182">
        <v>0</v>
      </c>
      <c r="G8" s="183">
        <v>0</v>
      </c>
      <c r="H8" s="184">
        <f>IF(($C$5&lt;'SA Apr 2017'!P2),(0),('SA Bills April 2017'!$C$5-'SA Apr 2017'!P2)*'SA Apr 2017'!Q2/100)</f>
        <v>883.79999999999984</v>
      </c>
      <c r="I8" s="185">
        <f>SUM(C8:H8)</f>
        <v>1836.2230999999997</v>
      </c>
      <c r="J8" s="186">
        <f>I8*4</f>
        <v>7344.8923999999988</v>
      </c>
      <c r="K8" s="187">
        <v>0</v>
      </c>
      <c r="L8" s="187">
        <f>'SA Apr 2017'!BA2</f>
        <v>16</v>
      </c>
      <c r="M8" s="187">
        <f>'SA Apr 2017'!BB2</f>
        <v>0</v>
      </c>
      <c r="N8" s="187">
        <f>'SA Apr 2017'!BC2</f>
        <v>0</v>
      </c>
      <c r="O8" s="186">
        <f>J8-((I8-C8)*L8/100)*4</f>
        <v>6213.6283999999987</v>
      </c>
      <c r="P8" s="186">
        <f>O8</f>
        <v>6213.6283999999987</v>
      </c>
      <c r="Q8" s="186">
        <f>O8*1.1</f>
        <v>6834.9912399999994</v>
      </c>
      <c r="R8" s="186">
        <f>P8*1.1</f>
        <v>6834.9912399999994</v>
      </c>
      <c r="S8" s="188">
        <f>'SA Apr 2017'!BJ2</f>
        <v>0</v>
      </c>
      <c r="T8" s="189" t="str">
        <f>'SA Apr 2017'!BK2</f>
        <v>n</v>
      </c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</row>
    <row r="9" spans="1:82" s="249" customFormat="1" ht="14" x14ac:dyDescent="0.15">
      <c r="A9" s="234" t="str">
        <f>'SA Apr 2017'!K3</f>
        <v>Alinta Energy</v>
      </c>
      <c r="B9" s="180" t="str">
        <f>'SA Apr 2017'!L3</f>
        <v>Fair Go Business</v>
      </c>
      <c r="C9" s="181">
        <f>91*'SA Apr 2017'!M3/100</f>
        <v>85.694699999999997</v>
      </c>
      <c r="D9" s="181">
        <f>IF($C$5&gt;='SA Apr 2017'!P3,('SA Apr 2017'!P3*'SA Apr 2017'!N3/100),('SA Bills April 2017'!$C$5*'SA Apr 2017'!N3/100))</f>
        <v>1062.5</v>
      </c>
      <c r="E9" s="181">
        <v>0</v>
      </c>
      <c r="F9" s="182">
        <v>0</v>
      </c>
      <c r="G9" s="183">
        <v>0</v>
      </c>
      <c r="H9" s="184">
        <f>IF(($C$5&lt;'SA Apr 2017'!P3),(0),('SA Bills April 2017'!$C$5-'SA Apr 2017'!P3)*'SA Apr 2017'!Q3/100)</f>
        <v>1076</v>
      </c>
      <c r="I9" s="185">
        <f t="shared" ref="I9:I20" si="0">SUM(C9:H9)</f>
        <v>2224.1947</v>
      </c>
      <c r="J9" s="186">
        <f t="shared" ref="J9:J20" si="1">I9*4</f>
        <v>8896.7788</v>
      </c>
      <c r="K9" s="187">
        <v>0</v>
      </c>
      <c r="L9" s="187">
        <f>'SA Apr 2017'!BA3</f>
        <v>0</v>
      </c>
      <c r="M9" s="187">
        <f>'SA Apr 2017'!BB3</f>
        <v>0</v>
      </c>
      <c r="N9" s="187">
        <f>'SA Apr 2017'!BC3</f>
        <v>25</v>
      </c>
      <c r="O9" s="186">
        <f>J9</f>
        <v>8896.7788</v>
      </c>
      <c r="P9" s="186">
        <f>O9-((I9-C9)*N9/100)*4</f>
        <v>6758.2788</v>
      </c>
      <c r="Q9" s="186">
        <f t="shared" ref="Q9:R20" si="2">O9*1.1</f>
        <v>9786.4566800000011</v>
      </c>
      <c r="R9" s="186">
        <f t="shared" si="2"/>
        <v>7434.1066800000008</v>
      </c>
      <c r="S9" s="188">
        <f>'SA Apr 2017'!BJ3</f>
        <v>0</v>
      </c>
      <c r="T9" s="189" t="str">
        <f>'SA Apr 2017'!BK3</f>
        <v>n</v>
      </c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</row>
    <row r="10" spans="1:82" ht="14" x14ac:dyDescent="0.15">
      <c r="A10" s="234" t="str">
        <f>'SA Apr 2017'!K4</f>
        <v>Click Energy</v>
      </c>
      <c r="B10" s="180" t="str">
        <f>'SA Apr 2017'!L4</f>
        <v>Click Business</v>
      </c>
      <c r="C10" s="181">
        <f>91*'SA Apr 2017'!M4/100</f>
        <v>85.612800000000007</v>
      </c>
      <c r="D10" s="181">
        <f>C5*'SA Apr 2017'!N4/100</f>
        <v>1656</v>
      </c>
      <c r="E10" s="181">
        <v>0</v>
      </c>
      <c r="F10" s="182">
        <v>0</v>
      </c>
      <c r="G10" s="183">
        <v>0</v>
      </c>
      <c r="H10" s="184">
        <f>IF(($C$5&lt;'SA Apr 2017'!P4),(0),('SA Bills April 2017'!$C$5-'SA Apr 2017'!P4)*'SA Apr 2017'!Q4/100)</f>
        <v>0</v>
      </c>
      <c r="I10" s="185">
        <f t="shared" si="0"/>
        <v>1741.6128000000001</v>
      </c>
      <c r="J10" s="186">
        <f t="shared" si="1"/>
        <v>6966.4512000000004</v>
      </c>
      <c r="K10" s="187">
        <v>0</v>
      </c>
      <c r="L10" s="187">
        <f>'SA Apr 2017'!BA4</f>
        <v>0</v>
      </c>
      <c r="M10" s="187">
        <f>'SA Apr 2017'!BB4</f>
        <v>7</v>
      </c>
      <c r="N10" s="187">
        <f>'SA Apr 2017'!BC4</f>
        <v>0</v>
      </c>
      <c r="O10" s="186">
        <f>J10</f>
        <v>6966.4512000000004</v>
      </c>
      <c r="P10" s="186">
        <f>O10-(O10*M10/100)</f>
        <v>6478.7996160000002</v>
      </c>
      <c r="Q10" s="186">
        <f t="shared" si="2"/>
        <v>7663.0963200000015</v>
      </c>
      <c r="R10" s="186">
        <f t="shared" si="2"/>
        <v>7126.6795776000008</v>
      </c>
      <c r="S10" s="188">
        <f>'SA Apr 2017'!BJ4</f>
        <v>0</v>
      </c>
      <c r="T10" s="189" t="str">
        <f>'SA Apr 2017'!BK4</f>
        <v>n</v>
      </c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</row>
    <row r="11" spans="1:82" s="249" customFormat="1" ht="14" x14ac:dyDescent="0.15">
      <c r="A11" s="234" t="str">
        <f>'SA Apr 2017'!K5</f>
        <v>Commander</v>
      </c>
      <c r="B11" s="180" t="str">
        <f>'SA Apr 2017'!L5</f>
        <v>Market offer</v>
      </c>
      <c r="C11" s="181">
        <f>91*'SA Apr 2017'!M5/100</f>
        <v>68.704999999999998</v>
      </c>
      <c r="D11" s="181">
        <f>IF($C$5&gt;='SA Apr 2017'!P5,('SA Apr 2017'!P5*'SA Apr 2017'!N5/100),('SA Bills April 2017'!$C$5*'SA Apr 2017'!N5/100))</f>
        <v>877.5</v>
      </c>
      <c r="E11" s="181">
        <v>0</v>
      </c>
      <c r="F11" s="182">
        <v>0</v>
      </c>
      <c r="G11" s="183">
        <v>0</v>
      </c>
      <c r="H11" s="184">
        <f>IF(($C$5&lt;'SA Apr 2017'!P5),(0),('SA Bills April 2017'!$C$5-'SA Apr 2017'!P5)*'SA Apr 2017'!Q5/100)</f>
        <v>915</v>
      </c>
      <c r="I11" s="185">
        <f t="shared" si="0"/>
        <v>1861.2049999999999</v>
      </c>
      <c r="J11" s="186">
        <f t="shared" si="1"/>
        <v>7444.82</v>
      </c>
      <c r="K11" s="187">
        <v>0</v>
      </c>
      <c r="L11" s="187">
        <f>'SA Apr 2017'!BA5</f>
        <v>0</v>
      </c>
      <c r="M11" s="187">
        <f>'SA Apr 2017'!BB5</f>
        <v>0</v>
      </c>
      <c r="N11" s="187">
        <f>'SA Apr 2017'!BC5</f>
        <v>20</v>
      </c>
      <c r="O11" s="186">
        <f>J11</f>
        <v>7444.82</v>
      </c>
      <c r="P11" s="186">
        <f>O11-((I11-C11)*N11/100)*4</f>
        <v>6010.82</v>
      </c>
      <c r="Q11" s="186">
        <f t="shared" si="2"/>
        <v>8189.3020000000006</v>
      </c>
      <c r="R11" s="186">
        <f t="shared" si="2"/>
        <v>6611.902</v>
      </c>
      <c r="S11" s="188">
        <f>'SA Apr 2017'!BJ5</f>
        <v>0</v>
      </c>
      <c r="T11" s="189" t="str">
        <f>'SA Apr 2017'!BK5</f>
        <v>n</v>
      </c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</row>
    <row r="12" spans="1:82" ht="14" x14ac:dyDescent="0.15">
      <c r="A12" s="234" t="str">
        <f>'SA Apr 2017'!K6</f>
        <v>Diamond Energy</v>
      </c>
      <c r="B12" s="180" t="str">
        <f>'SA Apr 2017'!L6</f>
        <v>Pay on time discount</v>
      </c>
      <c r="C12" s="181">
        <f>91*'SA Apr 2017'!M6/100</f>
        <v>85.995000000000005</v>
      </c>
      <c r="D12" s="181">
        <f>IF($C$5&gt;='SA Apr 2017'!P6,('SA Apr 2017'!P6*'SA Apr 2017'!N6/100),('SA Bills April 2017'!$C$5*'SA Apr 2017'!N6/100))</f>
        <v>309.8</v>
      </c>
      <c r="E12" s="181">
        <f>IF($C5&lt;'SA Apr 2017'!P6,0,IF(($C5-'SA Apr 2017'!P6)&lt;'SA Apr 2017'!R6,(($C5-'SA Apr 2017'!P6)*'SA Apr 2017'!Q6/100),(('SA Apr 2017'!R6-'SA Apr 2017'!P6)*'SA Apr 2017'!Q6/100)))</f>
        <v>539.69999999999993</v>
      </c>
      <c r="F12" s="182">
        <v>0</v>
      </c>
      <c r="G12" s="183">
        <v>0</v>
      </c>
      <c r="H12" s="184">
        <f>IF(($C$5&lt;'SA Apr 2017'!R6),(0),('SA Bills April 2017'!$C$5-'SA Apr 2017'!R6)*'SA Apr 2017'!S6/100)</f>
        <v>949.49999999999989</v>
      </c>
      <c r="I12" s="185">
        <f t="shared" si="0"/>
        <v>1884.9949999999999</v>
      </c>
      <c r="J12" s="186">
        <f t="shared" si="1"/>
        <v>7539.98</v>
      </c>
      <c r="K12" s="187">
        <v>0</v>
      </c>
      <c r="L12" s="187">
        <f>'SA Apr 2017'!BA6</f>
        <v>0</v>
      </c>
      <c r="M12" s="187">
        <f>'SA Apr 2017'!BB6</f>
        <v>7</v>
      </c>
      <c r="N12" s="187">
        <f>'SA Apr 2017'!BC6</f>
        <v>0</v>
      </c>
      <c r="O12" s="186">
        <f>J12</f>
        <v>7539.98</v>
      </c>
      <c r="P12" s="186">
        <f>O12-(O12*M12/100)</f>
        <v>7012.1813999999995</v>
      </c>
      <c r="Q12" s="186">
        <f t="shared" si="2"/>
        <v>8293.978000000001</v>
      </c>
      <c r="R12" s="186">
        <f t="shared" si="2"/>
        <v>7713.3995400000003</v>
      </c>
      <c r="S12" s="188">
        <f>'SA Apr 2017'!BJ6</f>
        <v>24</v>
      </c>
      <c r="T12" s="189" t="str">
        <f>'SA Apr 2017'!BK6</f>
        <v>y</v>
      </c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</row>
    <row r="13" spans="1:82" s="249" customFormat="1" ht="14" x14ac:dyDescent="0.15">
      <c r="A13" s="234" t="str">
        <f>'SA Apr 2017'!K7</f>
        <v>EnergyAustralia</v>
      </c>
      <c r="B13" s="180" t="str">
        <f>'SA Apr 2017'!L7</f>
        <v>Everyday Saver Business</v>
      </c>
      <c r="C13" s="181">
        <f>91*'SA Apr 2017'!M7/100</f>
        <v>68.795999999999992</v>
      </c>
      <c r="D13" s="181">
        <f>IF($C$5&gt;='SA Apr 2017'!P7,('SA Apr 2017'!P7*'SA Apr 2017'!N7/100),('SA Bills April 2017'!$C$5*'SA Apr 2017'!N7/100))</f>
        <v>948.55</v>
      </c>
      <c r="E13" s="181">
        <f>IF($C5&lt;'SA Apr 2017'!P7,0,IF(($C5-'SA Apr 2017'!P7)&lt;'SA Apr 2017'!R7,(($C5-'SA Apr 2017'!P7)*'SA Apr 2017'!Q7/100),(('SA Apr 2017'!R7-'SA Apr 2017'!P7)*'SA Apr 2017'!Q7/100)))</f>
        <v>974.53250000000003</v>
      </c>
      <c r="F13" s="182">
        <v>0</v>
      </c>
      <c r="G13" s="183">
        <v>0</v>
      </c>
      <c r="H13" s="184">
        <f>IF(($C$5&lt;'SA Apr 2017'!R7),(0),('SA Bills April 2017'!$C$5-'SA Apr 2017'!R7)*'SA Apr 2017'!S7/100)</f>
        <v>0</v>
      </c>
      <c r="I13" s="185">
        <f t="shared" si="0"/>
        <v>1991.8785</v>
      </c>
      <c r="J13" s="186">
        <f t="shared" si="1"/>
        <v>7967.5140000000001</v>
      </c>
      <c r="K13" s="187">
        <v>0</v>
      </c>
      <c r="L13" s="187">
        <f>'SA Apr 2017'!BA7</f>
        <v>19</v>
      </c>
      <c r="M13" s="187">
        <f>'SA Apr 2017'!BB7</f>
        <v>0</v>
      </c>
      <c r="N13" s="187">
        <f>'SA Apr 2017'!BC7</f>
        <v>0</v>
      </c>
      <c r="O13" s="186">
        <f>J13-((I13-C13)*L13/100)*4</f>
        <v>6505.9713000000002</v>
      </c>
      <c r="P13" s="186">
        <f>O13</f>
        <v>6505.9713000000002</v>
      </c>
      <c r="Q13" s="186">
        <f t="shared" si="2"/>
        <v>7156.5684300000012</v>
      </c>
      <c r="R13" s="186">
        <f t="shared" si="2"/>
        <v>7156.5684300000012</v>
      </c>
      <c r="S13" s="188">
        <f>'SA Apr 2017'!BJ7</f>
        <v>24</v>
      </c>
      <c r="T13" s="189" t="str">
        <f>'SA Apr 2017'!BK7</f>
        <v>y</v>
      </c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</row>
    <row r="14" spans="1:82" ht="14" x14ac:dyDescent="0.15">
      <c r="A14" s="234" t="str">
        <f>'SA Apr 2017'!K8</f>
        <v>ERM Power</v>
      </c>
      <c r="B14" s="180" t="str">
        <f>'SA Apr 2017'!L8</f>
        <v>Adjustable</v>
      </c>
      <c r="C14" s="181">
        <f>91*'SA Apr 2017'!M8/100</f>
        <v>94.64</v>
      </c>
      <c r="D14" s="181">
        <f>C5*'SA Apr 2017'!N8/100</f>
        <v>1603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1697.64</v>
      </c>
      <c r="J14" s="186">
        <f t="shared" si="1"/>
        <v>6790.56</v>
      </c>
      <c r="K14" s="187">
        <v>0</v>
      </c>
      <c r="L14" s="187">
        <f>'SA Apr 2017'!BA8</f>
        <v>0</v>
      </c>
      <c r="M14" s="187">
        <f>'SA Apr 2017'!BB8</f>
        <v>0</v>
      </c>
      <c r="N14" s="187">
        <f>'SA Apr 2017'!BC8</f>
        <v>0</v>
      </c>
      <c r="O14" s="186">
        <f>J14</f>
        <v>6790.56</v>
      </c>
      <c r="P14" s="186">
        <f>O14</f>
        <v>6790.56</v>
      </c>
      <c r="Q14" s="186">
        <f t="shared" si="2"/>
        <v>7469.6160000000009</v>
      </c>
      <c r="R14" s="186">
        <f t="shared" si="2"/>
        <v>7469.6160000000009</v>
      </c>
      <c r="S14" s="188">
        <f>'SA Apr 2017'!BJ8</f>
        <v>0</v>
      </c>
      <c r="T14" s="189" t="str">
        <f>'SA Apr 2017'!BK8</f>
        <v>n</v>
      </c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</row>
    <row r="15" spans="1:82" s="249" customFormat="1" ht="14" x14ac:dyDescent="0.15">
      <c r="A15" s="234" t="str">
        <f>'SA Apr 2017'!K9</f>
        <v>Lumo Energy</v>
      </c>
      <c r="B15" s="180" t="str">
        <f>'SA Apr 2017'!L9</f>
        <v>Business Premium</v>
      </c>
      <c r="C15" s="181">
        <f>91*'SA Apr 2017'!M9/100</f>
        <v>74.228699999999989</v>
      </c>
      <c r="D15" s="181">
        <f>IF($C$5&gt;='SA Apr 2017'!P9,('SA Apr 2017'!P9*'SA Apr 2017'!N9/100),('SA Bills April 2017'!$C$5*'SA Apr 2017'!N9/100))</f>
        <v>692.75</v>
      </c>
      <c r="E15" s="181">
        <v>0</v>
      </c>
      <c r="F15" s="182">
        <v>0</v>
      </c>
      <c r="G15" s="183">
        <v>0</v>
      </c>
      <c r="H15" s="184">
        <f>IF(($C$5&lt;'SA Apr 2017'!P9),(0),('SA Bills April 2017'!$C$5-'SA Apr 2017'!P9)*'SA Apr 2017'!Q9/100)</f>
        <v>736.5</v>
      </c>
      <c r="I15" s="185">
        <f t="shared" si="0"/>
        <v>1503.4787000000001</v>
      </c>
      <c r="J15" s="186">
        <f t="shared" si="1"/>
        <v>6013.9148000000005</v>
      </c>
      <c r="K15" s="187">
        <v>0</v>
      </c>
      <c r="L15" s="187">
        <f>'SA Apr 2017'!BA9</f>
        <v>0</v>
      </c>
      <c r="M15" s="187">
        <f>'SA Apr 2017'!BB9</f>
        <v>0</v>
      </c>
      <c r="N15" s="187">
        <f>'SA Apr 2017'!BC9</f>
        <v>0</v>
      </c>
      <c r="O15" s="186">
        <f t="shared" ref="O15:O16" si="3">J15</f>
        <v>6013.9148000000005</v>
      </c>
      <c r="P15" s="186">
        <f t="shared" ref="P15:P18" si="4">O15</f>
        <v>6013.9148000000005</v>
      </c>
      <c r="Q15" s="186">
        <f t="shared" si="2"/>
        <v>6615.3062800000007</v>
      </c>
      <c r="R15" s="186">
        <f t="shared" si="2"/>
        <v>6615.3062800000007</v>
      </c>
      <c r="S15" s="188">
        <f>'SA Apr 2017'!BJ9</f>
        <v>36</v>
      </c>
      <c r="T15" s="189" t="str">
        <f>'SA Apr 2017'!BK9</f>
        <v>n</v>
      </c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</row>
    <row r="16" spans="1:82" ht="14" x14ac:dyDescent="0.15">
      <c r="A16" s="234" t="str">
        <f>'SA Apr 2017'!K10</f>
        <v>Momentum Energy</v>
      </c>
      <c r="B16" s="180" t="str">
        <f>'SA Apr 2017'!L10</f>
        <v>SmilePower</v>
      </c>
      <c r="C16" s="181">
        <f>91*'SA Apr 2017'!M10/100</f>
        <v>74.956699999999998</v>
      </c>
      <c r="D16" s="181">
        <f>IF($C$5&gt;='SA Apr 2017'!P10,('SA Apr 2017'!P10*'SA Apr 2017'!N10/100),('SA Bills April 2017'!$C$5*'SA Apr 2017'!N10/100))</f>
        <v>425.75999999999993</v>
      </c>
      <c r="E16" s="181">
        <v>0</v>
      </c>
      <c r="F16" s="182">
        <v>0</v>
      </c>
      <c r="G16" s="183">
        <v>0</v>
      </c>
      <c r="H16" s="184">
        <f>IF(($C$5&lt;'SA Apr 2017'!P10),(0),('SA Bills April 2017'!$C$5-'SA Apr 2017'!P10)*'SA Apr 2017'!Q10/100)</f>
        <v>1230.82</v>
      </c>
      <c r="I16" s="185">
        <f t="shared" si="0"/>
        <v>1731.5366999999999</v>
      </c>
      <c r="J16" s="186">
        <f t="shared" si="1"/>
        <v>6926.1467999999995</v>
      </c>
      <c r="K16" s="187">
        <v>0</v>
      </c>
      <c r="L16" s="187">
        <f>'SA Apr 2017'!BA10</f>
        <v>0</v>
      </c>
      <c r="M16" s="187">
        <f>'SA Apr 2017'!BB10</f>
        <v>0</v>
      </c>
      <c r="N16" s="187">
        <f>'SA Apr 2017'!BC10</f>
        <v>0</v>
      </c>
      <c r="O16" s="186">
        <f t="shared" si="3"/>
        <v>6926.1467999999995</v>
      </c>
      <c r="P16" s="186">
        <f t="shared" si="4"/>
        <v>6926.1467999999995</v>
      </c>
      <c r="Q16" s="186">
        <f t="shared" si="2"/>
        <v>7618.7614800000001</v>
      </c>
      <c r="R16" s="186">
        <f t="shared" si="2"/>
        <v>7618.7614800000001</v>
      </c>
      <c r="S16" s="188">
        <f>'SA Apr 2017'!BJ10</f>
        <v>12</v>
      </c>
      <c r="T16" s="189" t="str">
        <f>'SA Apr 2017'!BK10</f>
        <v>y</v>
      </c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</row>
    <row r="17" spans="1:82" s="249" customFormat="1" ht="14" x14ac:dyDescent="0.15">
      <c r="A17" s="234" t="str">
        <f>'SA Apr 2017'!K11</f>
        <v>Origin Energy</v>
      </c>
      <c r="B17" s="180" t="str">
        <f>'SA Apr 2017'!L11</f>
        <v>Business Saver</v>
      </c>
      <c r="C17" s="181">
        <f>91*'SA Apr 2017'!M11/100</f>
        <v>68.25</v>
      </c>
      <c r="D17" s="181">
        <f>C5*'SA Apr 2017'!N11/100</f>
        <v>1760</v>
      </c>
      <c r="E17" s="181">
        <v>0</v>
      </c>
      <c r="F17" s="182">
        <v>0</v>
      </c>
      <c r="G17" s="183">
        <v>0</v>
      </c>
      <c r="H17" s="184">
        <f>IF(($C$5&lt;'SA Apr 2017'!P11),(0),('SA Bills April 2017'!$C$5-'SA Apr 2017'!P11)*'SA Apr 2017'!Q11/100)</f>
        <v>0</v>
      </c>
      <c r="I17" s="185">
        <f t="shared" si="0"/>
        <v>1828.25</v>
      </c>
      <c r="J17" s="186">
        <f t="shared" si="1"/>
        <v>7313</v>
      </c>
      <c r="K17" s="187">
        <v>0</v>
      </c>
      <c r="L17" s="187">
        <f>'SA Apr 2017'!BA11</f>
        <v>20</v>
      </c>
      <c r="M17" s="187">
        <f>'SA Apr 2017'!BB11</f>
        <v>0</v>
      </c>
      <c r="N17" s="187">
        <f>'SA Apr 2017'!BC11</f>
        <v>0</v>
      </c>
      <c r="O17" s="186">
        <f>J17-((I17-C17)*L17/100)*4</f>
        <v>5905</v>
      </c>
      <c r="P17" s="186">
        <f>O17</f>
        <v>5905</v>
      </c>
      <c r="Q17" s="186">
        <f t="shared" si="2"/>
        <v>6495.5000000000009</v>
      </c>
      <c r="R17" s="186">
        <f t="shared" si="2"/>
        <v>6495.5000000000009</v>
      </c>
      <c r="S17" s="188">
        <f>'SA Apr 2017'!BJ11</f>
        <v>12</v>
      </c>
      <c r="T17" s="189" t="str">
        <f>'SA Apr 2017'!BK11</f>
        <v>y</v>
      </c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</row>
    <row r="18" spans="1:82" s="225" customFormat="1" ht="14" x14ac:dyDescent="0.15">
      <c r="A18" s="234" t="str">
        <f>'SA Apr 2017'!K12</f>
        <v>Powerdirect</v>
      </c>
      <c r="B18" s="180" t="str">
        <f>'SA Apr 2017'!L12</f>
        <v>Quarterly read</v>
      </c>
      <c r="C18" s="181">
        <f>91*'SA Apr 2017'!M12/100</f>
        <v>73.518900000000002</v>
      </c>
      <c r="D18" s="181">
        <f>IF($C$5&gt;='SA Apr 2017'!P12,('SA Apr 2017'!P12*'SA Apr 2017'!N12/100),('SA Bills April 2017'!$C$5*'SA Apr 2017'!N12/100))</f>
        <v>807.5</v>
      </c>
      <c r="E18" s="181">
        <v>0</v>
      </c>
      <c r="F18" s="182">
        <v>0</v>
      </c>
      <c r="G18" s="183">
        <v>0</v>
      </c>
      <c r="H18" s="184">
        <f>IF(($C$5&lt;'SA Apr 2017'!P12),(0),('SA Bills April 2017'!$C$5-'SA Apr 2017'!P12)*'SA Apr 2017'!Q12/100)</f>
        <v>807.5</v>
      </c>
      <c r="I18" s="185">
        <f t="shared" si="0"/>
        <v>1688.5189</v>
      </c>
      <c r="J18" s="186">
        <f t="shared" si="1"/>
        <v>6754.0756000000001</v>
      </c>
      <c r="K18" s="187">
        <v>0</v>
      </c>
      <c r="L18" s="187">
        <f>'SA Apr 2017'!BA12</f>
        <v>0</v>
      </c>
      <c r="M18" s="187">
        <f>'SA Apr 2017'!BB12</f>
        <v>0</v>
      </c>
      <c r="N18" s="187">
        <f>'SA Apr 2017'!BC12</f>
        <v>0</v>
      </c>
      <c r="O18" s="186">
        <f t="shared" ref="O18" si="5">J18</f>
        <v>6754.0756000000001</v>
      </c>
      <c r="P18" s="186">
        <f t="shared" si="4"/>
        <v>6754.0756000000001</v>
      </c>
      <c r="Q18" s="186">
        <f t="shared" si="2"/>
        <v>7429.4831600000007</v>
      </c>
      <c r="R18" s="186">
        <f t="shared" si="2"/>
        <v>7429.4831600000007</v>
      </c>
      <c r="S18" s="188">
        <f>'SA Apr 2017'!BJ12</f>
        <v>0</v>
      </c>
      <c r="T18" s="189" t="str">
        <f>'SA Apr 2017'!BK12</f>
        <v>n</v>
      </c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</row>
    <row r="19" spans="1:82" s="249" customFormat="1" ht="14" x14ac:dyDescent="0.15">
      <c r="A19" s="234" t="str">
        <f>'SA Apr 2017'!K13</f>
        <v>Red Energy</v>
      </c>
      <c r="B19" s="180" t="str">
        <f>'SA Apr 2017'!L13</f>
        <v>Living Energy Saver</v>
      </c>
      <c r="C19" s="181">
        <f>91*'SA Apr 2017'!M13/100</f>
        <v>84.347899999999996</v>
      </c>
      <c r="D19" s="181">
        <f>IF($C$5&gt;='SA Apr 2017'!P13,('SA Apr 2017'!P13*'SA Apr 2017'!N13/100),('SA Bills April 2017'!$C$5*'SA Apr 2017'!N13/100))</f>
        <v>787.25</v>
      </c>
      <c r="E19" s="181">
        <v>0</v>
      </c>
      <c r="F19" s="182">
        <v>0</v>
      </c>
      <c r="G19" s="183">
        <v>0</v>
      </c>
      <c r="H19" s="184">
        <f>IF(($C$5&lt;'SA Apr 2017'!P13),(0),('SA Bills April 2017'!$C$5-'SA Apr 2017'!P13)*'SA Apr 2017'!Q13/100)</f>
        <v>836.99999999999989</v>
      </c>
      <c r="I19" s="185">
        <f t="shared" si="0"/>
        <v>1708.5978999999998</v>
      </c>
      <c r="J19" s="186">
        <f t="shared" si="1"/>
        <v>6834.391599999999</v>
      </c>
      <c r="K19" s="187">
        <v>0</v>
      </c>
      <c r="L19" s="187">
        <f>'SA Apr 2017'!BA13</f>
        <v>0</v>
      </c>
      <c r="M19" s="187">
        <f>'SA Apr 2017'!BB13</f>
        <v>10</v>
      </c>
      <c r="N19" s="187">
        <f>'SA Apr 2017'!BC13</f>
        <v>0</v>
      </c>
      <c r="O19" s="186">
        <f>J19</f>
        <v>6834.391599999999</v>
      </c>
      <c r="P19" s="186">
        <f>O19-(O19*M19/100)</f>
        <v>6150.9524399999991</v>
      </c>
      <c r="Q19" s="186">
        <f t="shared" si="2"/>
        <v>7517.8307599999998</v>
      </c>
      <c r="R19" s="186">
        <f t="shared" si="2"/>
        <v>6766.0476839999992</v>
      </c>
      <c r="S19" s="188">
        <f>'SA Apr 2017'!BJ13</f>
        <v>24</v>
      </c>
      <c r="T19" s="189" t="str">
        <f>'SA Apr 2017'!BK13</f>
        <v>y</v>
      </c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</row>
    <row r="20" spans="1:82" s="225" customFormat="1" ht="15" thickBot="1" x14ac:dyDescent="0.2">
      <c r="A20" s="235" t="str">
        <f>'SA Apr 2017'!K14</f>
        <v>Simply Energy</v>
      </c>
      <c r="B20" s="207" t="str">
        <f>'SA Apr 2017'!L14</f>
        <v>Business Plus Online</v>
      </c>
      <c r="C20" s="193">
        <f>91*'SA Apr 2017'!M14/100</f>
        <v>71.425899999999999</v>
      </c>
      <c r="D20" s="193">
        <f>C5*'SA Apr 2017'!N14/100</f>
        <v>1687.5</v>
      </c>
      <c r="E20" s="193">
        <v>0</v>
      </c>
      <c r="F20" s="208">
        <v>0</v>
      </c>
      <c r="G20" s="194">
        <v>0</v>
      </c>
      <c r="H20" s="209">
        <f>IF(($C$5&lt;'SA Apr 2017'!P14),(0),('SA Bills April 2017'!$C$5-'SA Apr 2017'!P14)*'SA Apr 2017'!Q14/100)</f>
        <v>0</v>
      </c>
      <c r="I20" s="195">
        <f t="shared" si="0"/>
        <v>1758.9259</v>
      </c>
      <c r="J20" s="196">
        <f t="shared" si="1"/>
        <v>7035.7035999999998</v>
      </c>
      <c r="K20" s="197">
        <v>0</v>
      </c>
      <c r="L20" s="197">
        <f>'SA Apr 2017'!BA14</f>
        <v>15</v>
      </c>
      <c r="M20" s="197">
        <f>'SA Apr 2017'!BB14</f>
        <v>0</v>
      </c>
      <c r="N20" s="197">
        <f>'SA Apr 2017'!BC14</f>
        <v>0</v>
      </c>
      <c r="O20" s="196">
        <f>J20-((I20-C20)*L20/100)*4</f>
        <v>6023.2035999999998</v>
      </c>
      <c r="P20" s="196">
        <f>O20</f>
        <v>6023.2035999999998</v>
      </c>
      <c r="Q20" s="196">
        <f t="shared" si="2"/>
        <v>6625.5239600000004</v>
      </c>
      <c r="R20" s="196">
        <f t="shared" si="2"/>
        <v>6625.5239600000004</v>
      </c>
      <c r="S20" s="198">
        <f>'SA Apr 2017'!BJ14</f>
        <v>24</v>
      </c>
      <c r="T20" s="199" t="str">
        <f>'SA Apr 2017'!BK14</f>
        <v>y</v>
      </c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</row>
    <row r="21" spans="1:82" s="227" customFormat="1" ht="14" x14ac:dyDescent="0.15">
      <c r="A21" s="245"/>
      <c r="B21" s="245"/>
      <c r="C21" s="250"/>
      <c r="D21" s="250"/>
      <c r="E21" s="250"/>
      <c r="F21" s="250"/>
      <c r="G21" s="250"/>
      <c r="H21" s="250"/>
      <c r="I21" s="251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</row>
    <row r="22" spans="1:82" s="227" customFormat="1" ht="15" thickBot="1" x14ac:dyDescent="0.2">
      <c r="A22" s="245"/>
      <c r="B22" s="245"/>
      <c r="C22" s="250"/>
      <c r="D22" s="250"/>
      <c r="E22" s="250"/>
      <c r="F22" s="250"/>
      <c r="G22" s="250"/>
      <c r="H22" s="250"/>
      <c r="I22" s="251"/>
      <c r="J22" s="24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</row>
    <row r="23" spans="1:82" ht="14" x14ac:dyDescent="0.15">
      <c r="A23" s="165" t="s">
        <v>84</v>
      </c>
      <c r="B23" s="166"/>
      <c r="C23" s="166"/>
      <c r="D23" s="202"/>
      <c r="E23" s="202"/>
      <c r="F23" s="202"/>
      <c r="G23" s="202"/>
      <c r="H23" s="202"/>
      <c r="I23" s="203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8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</row>
    <row r="24" spans="1:82" ht="14" x14ac:dyDescent="0.15">
      <c r="A24" s="169" t="s">
        <v>197</v>
      </c>
      <c r="B24" s="134"/>
      <c r="C24" s="170">
        <v>5000</v>
      </c>
      <c r="D24" s="204"/>
      <c r="E24" s="204"/>
      <c r="F24" s="204"/>
      <c r="G24" s="204"/>
      <c r="H24" s="204"/>
      <c r="I24" s="205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72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</row>
    <row r="25" spans="1:82" ht="14" x14ac:dyDescent="0.15">
      <c r="A25" s="169" t="s">
        <v>85</v>
      </c>
      <c r="B25" s="134"/>
      <c r="C25" s="206">
        <v>0.7</v>
      </c>
      <c r="D25" s="204"/>
      <c r="E25" s="204"/>
      <c r="F25" s="204"/>
      <c r="G25" s="204"/>
      <c r="H25" s="204"/>
      <c r="I25" s="205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72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</row>
    <row r="26" spans="1:82" ht="14" x14ac:dyDescent="0.15">
      <c r="A26" s="169" t="s">
        <v>171</v>
      </c>
      <c r="B26" s="134"/>
      <c r="C26" s="206">
        <v>0.3</v>
      </c>
      <c r="D26" s="204"/>
      <c r="E26" s="204"/>
      <c r="F26" s="204"/>
      <c r="G26" s="204"/>
      <c r="H26" s="204"/>
      <c r="I26" s="205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72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</row>
    <row r="27" spans="1:82" ht="14" x14ac:dyDescent="0.15">
      <c r="A27" s="169"/>
      <c r="B27" s="134"/>
      <c r="C27" s="204"/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</row>
    <row r="28" spans="1:82" ht="75" x14ac:dyDescent="0.15">
      <c r="A28" s="230" t="s">
        <v>216</v>
      </c>
      <c r="B28" s="231" t="s">
        <v>198</v>
      </c>
      <c r="C28" s="173" t="s">
        <v>199</v>
      </c>
      <c r="D28" s="173" t="s">
        <v>200</v>
      </c>
      <c r="E28" s="173" t="s">
        <v>201</v>
      </c>
      <c r="F28" s="173" t="s">
        <v>164</v>
      </c>
      <c r="G28" s="173" t="s">
        <v>84</v>
      </c>
      <c r="H28" s="173" t="s">
        <v>233</v>
      </c>
      <c r="I28" s="173" t="s">
        <v>165</v>
      </c>
      <c r="J28" s="174" t="s">
        <v>166</v>
      </c>
      <c r="K28" s="175" t="s">
        <v>167</v>
      </c>
      <c r="L28" s="175" t="s">
        <v>168</v>
      </c>
      <c r="M28" s="175" t="s">
        <v>169</v>
      </c>
      <c r="N28" s="175" t="s">
        <v>170</v>
      </c>
      <c r="O28" s="238" t="s">
        <v>579</v>
      </c>
      <c r="P28" s="176" t="s">
        <v>580</v>
      </c>
      <c r="Q28" s="176" t="s">
        <v>227</v>
      </c>
      <c r="R28" s="176" t="s">
        <v>272</v>
      </c>
      <c r="S28" s="239" t="s">
        <v>82</v>
      </c>
      <c r="T28" s="177" t="s">
        <v>83</v>
      </c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</row>
    <row r="29" spans="1:82" ht="14" x14ac:dyDescent="0.15">
      <c r="A29" s="234" t="str">
        <f>'SA Apr 2017'!K15</f>
        <v>AGL</v>
      </c>
      <c r="B29" s="180" t="str">
        <f>'SA Apr 2017'!L15</f>
        <v xml:space="preserve">Business Savers </v>
      </c>
      <c r="C29" s="181">
        <f>91*'SA Apr 2017'!M15/100</f>
        <v>68.623099999999994</v>
      </c>
      <c r="D29" s="181">
        <f>IF(($C$24*$C$25)&gt;='SA Apr 2017'!P15,('SA Apr 2017'!P15*'SA Apr 2017'!N15/100),(('SA Bills April 2017'!$C$24*'SA Bills April 2017'!$C$25)*'SA Apr 2017'!N15/100))</f>
        <v>883.79999999999984</v>
      </c>
      <c r="E29" s="181">
        <v>0</v>
      </c>
      <c r="F29" s="181">
        <f>IF($C$24*$C$25&lt;'SA Apr 2017'!P15,(0),((('SA Bills April 2017'!$C$24*'SA Bills April 2017'!$C$25)-('SA Apr 2017'!P15))*'SA Apr 2017'!Q15/100))</f>
        <v>353.52</v>
      </c>
      <c r="G29" s="181">
        <f>($C$24*$C$26)*'SA Apr 2017'!AF15/100</f>
        <v>230.25</v>
      </c>
      <c r="H29" s="240">
        <v>0</v>
      </c>
      <c r="I29" s="185">
        <f t="shared" ref="I29:I40" si="6">SUM(C29:G29)</f>
        <v>1536.1931</v>
      </c>
      <c r="J29" s="186">
        <f>I29*4</f>
        <v>6144.7723999999998</v>
      </c>
      <c r="K29" s="187">
        <v>0</v>
      </c>
      <c r="L29" s="187">
        <f>'SA Apr 2017'!BA15</f>
        <v>16</v>
      </c>
      <c r="M29" s="187">
        <f>'SA Apr 2017'!BB15</f>
        <v>0</v>
      </c>
      <c r="N29" s="187">
        <f>'SA Apr 2017'!BC15</f>
        <v>0</v>
      </c>
      <c r="O29" s="186">
        <f>J29-((I29-C29)*L29/100)*4</f>
        <v>5205.5275999999994</v>
      </c>
      <c r="P29" s="186">
        <f>O29</f>
        <v>5205.5275999999994</v>
      </c>
      <c r="Q29" s="186">
        <f>O29*1.1</f>
        <v>5726.0803599999999</v>
      </c>
      <c r="R29" s="186">
        <f>P29*1.1</f>
        <v>5726.0803599999999</v>
      </c>
      <c r="S29" s="188">
        <f>'SA Apr 2017'!BJ23</f>
        <v>12</v>
      </c>
      <c r="T29" s="189" t="str">
        <f>'SA Apr 2017'!BK23</f>
        <v>y</v>
      </c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</row>
    <row r="30" spans="1:82" s="249" customFormat="1" ht="14" x14ac:dyDescent="0.15">
      <c r="A30" s="234" t="str">
        <f>'SA Apr 2017'!K16</f>
        <v>Alinta Energy</v>
      </c>
      <c r="B30" s="180" t="str">
        <f>'SA Apr 2017'!L16</f>
        <v>Fair Go Business</v>
      </c>
      <c r="C30" s="181">
        <f>91*'SA Apr 2017'!M16/100</f>
        <v>85.694699999999997</v>
      </c>
      <c r="D30" s="181">
        <f>IF(($C$24*$C$25)&gt;='SA Apr 2017'!P16,('SA Apr 2017'!P16*'SA Apr 2017'!N16/100),(('SA Bills April 2017'!$C$24*'SA Bills April 2017'!$C$25)*'SA Apr 2017'!N16/100))</f>
        <v>1062.5</v>
      </c>
      <c r="E30" s="181">
        <v>0</v>
      </c>
      <c r="F30" s="181">
        <f>IF($C$24*$C$25&lt;'SA Apr 2017'!P16,(0),((('SA Bills April 2017'!$C$24*'SA Bills April 2017'!$C$25)-('SA Apr 2017'!P16))*'SA Apr 2017'!Q16/100))</f>
        <v>430.4</v>
      </c>
      <c r="G30" s="181">
        <f>IF(($C$24*$C$26)&gt;='SA Apr 2017'!AG16,('SA Apr 2017'!AG16*'SA Apr 2017'!AF16/100),(('SA Bills April 2017'!$C$24*'SA Bills April 2017'!$C$26)*'SA Apr 2017'!AF16/100))</f>
        <v>295.64999999999998</v>
      </c>
      <c r="H30" s="240">
        <f>IF($C$24*$C$26&lt;'SA Apr 2017'!AG16,(0),((('SA Bills April 2017'!$C$24*'SA Bills April 2017'!$C$26)-('SA Apr 2017'!AG16))*'SA Apr 2017'!AH16/100))</f>
        <v>0</v>
      </c>
      <c r="I30" s="185">
        <f t="shared" si="6"/>
        <v>1874.2447000000002</v>
      </c>
      <c r="J30" s="186">
        <f t="shared" ref="J30:J40" si="7">I30*4</f>
        <v>7496.9788000000008</v>
      </c>
      <c r="K30" s="187">
        <v>0</v>
      </c>
      <c r="L30" s="187">
        <f>'SA Apr 2017'!BA16</f>
        <v>0</v>
      </c>
      <c r="M30" s="187">
        <f>'SA Apr 2017'!BB16</f>
        <v>0</v>
      </c>
      <c r="N30" s="187">
        <f>'SA Apr 2017'!BC16</f>
        <v>25</v>
      </c>
      <c r="O30" s="186">
        <f>J30</f>
        <v>7496.9788000000008</v>
      </c>
      <c r="P30" s="186">
        <f>O30-((I30-C30)*N30/100)*4</f>
        <v>5708.4288000000006</v>
      </c>
      <c r="Q30" s="186">
        <f t="shared" ref="Q30:R40" si="8">O30*1.1</f>
        <v>8246.6766800000023</v>
      </c>
      <c r="R30" s="186">
        <f t="shared" si="8"/>
        <v>6279.2716800000007</v>
      </c>
      <c r="S30" s="188">
        <f>'SA Apr 2017'!BJ24</f>
        <v>0</v>
      </c>
      <c r="T30" s="189" t="str">
        <f>'SA Apr 2017'!BK24</f>
        <v>n</v>
      </c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</row>
    <row r="31" spans="1:82" ht="14" x14ac:dyDescent="0.15">
      <c r="A31" s="234" t="str">
        <f>'SA Apr 2017'!K17</f>
        <v>Click Energy</v>
      </c>
      <c r="B31" s="180" t="str">
        <f>'SA Apr 2017'!L17</f>
        <v>Click Business</v>
      </c>
      <c r="C31" s="181">
        <f>91*'SA Apr 2017'!M17/100</f>
        <v>85.612800000000007</v>
      </c>
      <c r="D31" s="181">
        <f>($C$24*$C$25)*'SA Apr 2017'!N17/100</f>
        <v>1159.1999999999998</v>
      </c>
      <c r="E31" s="181">
        <v>0</v>
      </c>
      <c r="F31" s="181">
        <f>IF($C$24*$C$25&lt;'SA Apr 2017'!P17,(0),((('SA Bills April 2017'!$C$24*'SA Bills April 2017'!$C$25)-('SA Apr 2017'!P17))*'SA Apr 2017'!Q17/100))</f>
        <v>0</v>
      </c>
      <c r="G31" s="181">
        <f>($C$24*$C$26)*'SA Apr 2017'!AF17/100</f>
        <v>368.64</v>
      </c>
      <c r="H31" s="240">
        <v>0</v>
      </c>
      <c r="I31" s="185">
        <f t="shared" si="6"/>
        <v>1613.4528</v>
      </c>
      <c r="J31" s="186">
        <f t="shared" si="7"/>
        <v>6453.8112000000001</v>
      </c>
      <c r="K31" s="187">
        <v>0</v>
      </c>
      <c r="L31" s="187">
        <f>'SA Apr 2017'!BA17</f>
        <v>0</v>
      </c>
      <c r="M31" s="187">
        <f>'SA Apr 2017'!BB17</f>
        <v>7</v>
      </c>
      <c r="N31" s="187">
        <f>'SA Apr 2017'!BC17</f>
        <v>0</v>
      </c>
      <c r="O31" s="186">
        <f>J31</f>
        <v>6453.8112000000001</v>
      </c>
      <c r="P31" s="186">
        <f>O31-(O31*M31/100)</f>
        <v>6002.0444159999997</v>
      </c>
      <c r="Q31" s="186">
        <f t="shared" si="8"/>
        <v>7099.192320000001</v>
      </c>
      <c r="R31" s="186">
        <f t="shared" si="8"/>
        <v>6602.2488576000005</v>
      </c>
      <c r="S31" s="188">
        <f>'SA Apr 2017'!BJ25</f>
        <v>24</v>
      </c>
      <c r="T31" s="189" t="str">
        <f>'SA Apr 2017'!BK25</f>
        <v>y</v>
      </c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</row>
    <row r="32" spans="1:82" s="249" customFormat="1" ht="14" x14ac:dyDescent="0.15">
      <c r="A32" s="234" t="str">
        <f>'SA Apr 2017'!K18</f>
        <v>Commander</v>
      </c>
      <c r="B32" s="180" t="str">
        <f>'SA Apr 2017'!L18</f>
        <v>Market offer</v>
      </c>
      <c r="C32" s="181">
        <f>91*'SA Apr 2017'!M18/100</f>
        <v>68.704999999999998</v>
      </c>
      <c r="D32" s="181">
        <f>IF(($C$24*$C$25)&gt;='SA Apr 2017'!P18,('SA Apr 2017'!P18*'SA Apr 2017'!N18/100),(('SA Bills April 2017'!$C$24*'SA Bills April 2017'!$C$25)*'SA Apr 2017'!N18/100))</f>
        <v>877.5</v>
      </c>
      <c r="E32" s="181">
        <v>0</v>
      </c>
      <c r="F32" s="181">
        <f>IF($C$24*$C$25&lt;'SA Apr 2017'!P18,(0),((('SA Bills April 2017'!$C$24*'SA Bills April 2017'!$C$25)-('SA Apr 2017'!P18))*'SA Apr 2017'!Q18/100))</f>
        <v>366</v>
      </c>
      <c r="G32" s="181">
        <f>($C$24*$C$26)*'SA Apr 2017'!AF18/100</f>
        <v>241.50000000000003</v>
      </c>
      <c r="H32" s="240">
        <v>0</v>
      </c>
      <c r="I32" s="185">
        <f t="shared" si="6"/>
        <v>1553.7049999999999</v>
      </c>
      <c r="J32" s="186">
        <f t="shared" si="7"/>
        <v>6214.82</v>
      </c>
      <c r="K32" s="187">
        <v>0</v>
      </c>
      <c r="L32" s="187">
        <f>'SA Apr 2017'!BA18</f>
        <v>0</v>
      </c>
      <c r="M32" s="187">
        <f>'SA Apr 2017'!BB18</f>
        <v>0</v>
      </c>
      <c r="N32" s="187">
        <f>'SA Apr 2017'!BC18</f>
        <v>20</v>
      </c>
      <c r="O32" s="186">
        <f>J32</f>
        <v>6214.82</v>
      </c>
      <c r="P32" s="186">
        <f>O32-((I32-C32)*N32/100)*4</f>
        <v>5026.82</v>
      </c>
      <c r="Q32" s="186">
        <f t="shared" si="8"/>
        <v>6836.3020000000006</v>
      </c>
      <c r="R32" s="186">
        <f t="shared" si="8"/>
        <v>5529.5020000000004</v>
      </c>
      <c r="S32" s="188">
        <f>'SA Apr 2017'!BJ26</f>
        <v>24</v>
      </c>
      <c r="T32" s="189" t="str">
        <f>'SA Apr 2017'!BK26</f>
        <v>y</v>
      </c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</row>
    <row r="33" spans="1:82" ht="14" x14ac:dyDescent="0.15">
      <c r="A33" s="234" t="str">
        <f>'SA Apr 2017'!K19</f>
        <v>Diamond Energy</v>
      </c>
      <c r="B33" s="180" t="str">
        <f>'SA Apr 2017'!L19</f>
        <v>Pay on time discount</v>
      </c>
      <c r="C33" s="181">
        <f>91*'SA Apr 2017'!M19/100</f>
        <v>85.995000000000005</v>
      </c>
      <c r="D33" s="181">
        <f>IF($C$24*$C$25&gt;='SA Apr 2017'!P19,('SA Apr 2017'!P19*'SA Apr 2017'!N19/100),($C$24*$C$25*'SA Apr 2017'!N19/100))</f>
        <v>309.8</v>
      </c>
      <c r="E33" s="181">
        <f>IF($C$24*$C$25&lt;'SA Apr 2017'!P19,0,IF(($C$24*$C$25-'SA Apr 2017'!P19)&lt;'SA Apr 2017'!R19,(( $C$24*$C$25-'SA Apr 2017'!P19)*'SA Apr 2017'!Q19/100),(('SA Apr 2017'!R19-'SA Apr 2017'!P19)*'SA Apr 2017'!Q19/100)))</f>
        <v>539.69999999999993</v>
      </c>
      <c r="F33" s="181">
        <f>IF($C$24*$C$25&lt;'SA Apr 2017'!R19,(0),((('SA Bills April 2017'!$C$24*'SA Bills April 2017'!$C$25)-('SA Apr 2017'!R19))*'SA Apr 2017'!S19/100))</f>
        <v>379.8</v>
      </c>
      <c r="G33" s="181">
        <f>($C$24*$C$26)*'SA Apr 2017'!AF19/100</f>
        <v>239.85</v>
      </c>
      <c r="H33" s="240">
        <v>0</v>
      </c>
      <c r="I33" s="185">
        <f t="shared" si="6"/>
        <v>1555.1449999999998</v>
      </c>
      <c r="J33" s="186">
        <f t="shared" si="7"/>
        <v>6220.579999999999</v>
      </c>
      <c r="K33" s="187">
        <v>0</v>
      </c>
      <c r="L33" s="187">
        <f>'SA Apr 2017'!BA19</f>
        <v>0</v>
      </c>
      <c r="M33" s="187">
        <f>'SA Apr 2017'!BB19</f>
        <v>7</v>
      </c>
      <c r="N33" s="187">
        <f>'SA Apr 2017'!BC19</f>
        <v>0</v>
      </c>
      <c r="O33" s="186">
        <f>J33</f>
        <v>6220.579999999999</v>
      </c>
      <c r="P33" s="186">
        <f>O33-(O33*M33/100)</f>
        <v>5785.1393999999991</v>
      </c>
      <c r="Q33" s="186">
        <f t="shared" si="8"/>
        <v>6842.6379999999999</v>
      </c>
      <c r="R33" s="186">
        <f t="shared" si="8"/>
        <v>6363.6533399999998</v>
      </c>
      <c r="S33" s="188">
        <f>'SA Apr 2017'!BJ27</f>
        <v>0</v>
      </c>
      <c r="T33" s="189" t="str">
        <f>'SA Apr 2017'!BK27</f>
        <v>n</v>
      </c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</row>
    <row r="34" spans="1:82" s="249" customFormat="1" ht="14" x14ac:dyDescent="0.15">
      <c r="A34" s="234" t="str">
        <f>'SA Apr 2017'!K20</f>
        <v>EnergyAustralia</v>
      </c>
      <c r="B34" s="180" t="str">
        <f>'SA Apr 2017'!L20</f>
        <v>Everyday Saver Business</v>
      </c>
      <c r="C34" s="181">
        <f>91*'SA Apr 2017'!M20/100</f>
        <v>68.795999999999992</v>
      </c>
      <c r="D34" s="181">
        <f>IF($C$24*$C$25&gt;='SA Apr 2017'!P20,('SA Apr 2017'!P20*'SA Apr 2017'!N20/100),($C$24*$C$25*'SA Apr 2017'!N20/100))</f>
        <v>948.55</v>
      </c>
      <c r="E34" s="181">
        <f>IF($C$24*$C$25&lt;'SA Apr 2017'!P20,0,IF(($C$24*$C$25-'SA Apr 2017'!P20)&lt;'SA Apr 2017'!R20,(( $C$24*$C$25-'SA Apr 2017'!P20)*'SA Apr 2017'!Q20/100),(('SA Apr 2017'!R20-'SA Apr 2017'!P20)*'SA Apr 2017'!Q20/100)))</f>
        <v>389.81299999999993</v>
      </c>
      <c r="F34" s="181">
        <f>IF($C$24*$C$25&lt;'SA Apr 2017'!R20,(0),((('SA Bills April 2017'!$C$24*'SA Bills April 2017'!$C$25)-('SA Apr 2017'!R20))*'SA Apr 2017'!S20/100))</f>
        <v>0</v>
      </c>
      <c r="G34" s="181">
        <f>($C$24*$C$26)*'SA Apr 2017'!AF20/100</f>
        <v>217.30350000000001</v>
      </c>
      <c r="H34" s="240">
        <v>0</v>
      </c>
      <c r="I34" s="185">
        <f t="shared" si="6"/>
        <v>1624.4624999999999</v>
      </c>
      <c r="J34" s="186">
        <f t="shared" si="7"/>
        <v>6497.8499999999995</v>
      </c>
      <c r="K34" s="187">
        <v>0</v>
      </c>
      <c r="L34" s="187">
        <f>'SA Apr 2017'!BA20</f>
        <v>19</v>
      </c>
      <c r="M34" s="187">
        <f>'SA Apr 2017'!BB20</f>
        <v>0</v>
      </c>
      <c r="N34" s="187">
        <f>'SA Apr 2017'!BC20</f>
        <v>0</v>
      </c>
      <c r="O34" s="186">
        <f>J34-((I34-C34)*L34/100)*4</f>
        <v>5315.5434599999999</v>
      </c>
      <c r="P34" s="186">
        <f>O34</f>
        <v>5315.5434599999999</v>
      </c>
      <c r="Q34" s="186">
        <f t="shared" si="8"/>
        <v>5847.0978060000007</v>
      </c>
      <c r="R34" s="186">
        <f t="shared" si="8"/>
        <v>5847.0978060000007</v>
      </c>
      <c r="S34" s="188">
        <f>'SA Apr 2017'!BJ28</f>
        <v>0</v>
      </c>
      <c r="T34" s="189" t="str">
        <f>'SA Apr 2017'!BK28</f>
        <v>n</v>
      </c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</row>
    <row r="35" spans="1:82" ht="14" x14ac:dyDescent="0.15">
      <c r="A35" s="234" t="str">
        <f>'SA Apr 2017'!K21</f>
        <v>ERM Power</v>
      </c>
      <c r="B35" s="180" t="str">
        <f>'SA Apr 2017'!L21</f>
        <v>Adjustable</v>
      </c>
      <c r="C35" s="181">
        <f>91*'SA Apr 2017'!M21/100</f>
        <v>94.64</v>
      </c>
      <c r="D35" s="181">
        <f>($C$24*$C$25)*'SA Apr 2017'!N21/100</f>
        <v>1122.1000000000001</v>
      </c>
      <c r="E35" s="181">
        <v>0</v>
      </c>
      <c r="F35" s="181">
        <v>0</v>
      </c>
      <c r="G35" s="181">
        <f>($C$24*$C$26)*'SA Apr 2017'!AF21/100</f>
        <v>283.35000000000002</v>
      </c>
      <c r="H35" s="240">
        <v>0</v>
      </c>
      <c r="I35" s="185">
        <f t="shared" si="6"/>
        <v>1500.0900000000001</v>
      </c>
      <c r="J35" s="186">
        <f t="shared" si="7"/>
        <v>6000.3600000000006</v>
      </c>
      <c r="K35" s="187">
        <v>0</v>
      </c>
      <c r="L35" s="187">
        <f>'SA Apr 2017'!BA21</f>
        <v>0</v>
      </c>
      <c r="M35" s="187">
        <f>'SA Apr 2017'!BB21</f>
        <v>0</v>
      </c>
      <c r="N35" s="187">
        <f>'SA Apr 2017'!BC21</f>
        <v>0</v>
      </c>
      <c r="O35" s="186">
        <f>J35</f>
        <v>6000.3600000000006</v>
      </c>
      <c r="P35" s="186">
        <f>O35</f>
        <v>6000.3600000000006</v>
      </c>
      <c r="Q35" s="186">
        <f t="shared" si="8"/>
        <v>6600.3960000000015</v>
      </c>
      <c r="R35" s="186">
        <f t="shared" si="8"/>
        <v>6600.3960000000015</v>
      </c>
      <c r="S35" s="188">
        <f>'SA Apr 2017'!BJ29</f>
        <v>0</v>
      </c>
      <c r="T35" s="189" t="str">
        <f>'SA Apr 2017'!BK29</f>
        <v>n</v>
      </c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</row>
    <row r="36" spans="1:82" s="249" customFormat="1" ht="14" x14ac:dyDescent="0.15">
      <c r="A36" s="234" t="str">
        <f>'SA Apr 2017'!K22</f>
        <v>Momentum Energy</v>
      </c>
      <c r="B36" s="180" t="str">
        <f>'SA Apr 2017'!L22</f>
        <v>SmilePower</v>
      </c>
      <c r="C36" s="181">
        <f>91*'SA Apr 2017'!M22/100</f>
        <v>74.956699999999998</v>
      </c>
      <c r="D36" s="181">
        <f>IF(($C$24*$C$25)&gt;='SA Apr 2017'!P22,('SA Apr 2017'!P22*'SA Apr 2017'!N22/100),(('SA Bills April 2017'!$C$24*'SA Bills April 2017'!$C$25)*'SA Apr 2017'!N22/100))</f>
        <v>425.75999999999993</v>
      </c>
      <c r="E36" s="181">
        <v>0</v>
      </c>
      <c r="F36" s="181">
        <f>IF($C$24*$C$25&lt;'SA Apr 2017'!P22,(0),((('SA Bills April 2017'!$C$24*'SA Bills April 2017'!$C$25)-('SA Apr 2017'!P22))*'SA Apr 2017'!Q22/100))</f>
        <v>744.97</v>
      </c>
      <c r="G36" s="181">
        <f>($C$24*$C$26)*'SA Apr 2017'!AF22/100</f>
        <v>366.75</v>
      </c>
      <c r="H36" s="240">
        <v>0</v>
      </c>
      <c r="I36" s="185">
        <f t="shared" si="6"/>
        <v>1612.4367</v>
      </c>
      <c r="J36" s="186">
        <f t="shared" si="7"/>
        <v>6449.7467999999999</v>
      </c>
      <c r="K36" s="187">
        <v>0</v>
      </c>
      <c r="L36" s="187">
        <f>'SA Apr 2017'!BA22</f>
        <v>0</v>
      </c>
      <c r="M36" s="187">
        <f>'SA Apr 2017'!BB22</f>
        <v>0</v>
      </c>
      <c r="N36" s="187">
        <f>'SA Apr 2017'!BC22</f>
        <v>0</v>
      </c>
      <c r="O36" s="186">
        <f t="shared" ref="O36" si="9">J36</f>
        <v>6449.7467999999999</v>
      </c>
      <c r="P36" s="186">
        <f t="shared" ref="P36:P38" si="10">O36</f>
        <v>6449.7467999999999</v>
      </c>
      <c r="Q36" s="186">
        <f t="shared" si="8"/>
        <v>7094.7214800000002</v>
      </c>
      <c r="R36" s="186">
        <f t="shared" si="8"/>
        <v>7094.7214800000002</v>
      </c>
      <c r="S36" s="188">
        <v>36</v>
      </c>
      <c r="T36" s="189" t="s">
        <v>174</v>
      </c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</row>
    <row r="37" spans="1:82" ht="14" x14ac:dyDescent="0.15">
      <c r="A37" s="234" t="str">
        <f>'SA Apr 2017'!K23</f>
        <v>Origin Energy</v>
      </c>
      <c r="B37" s="180" t="str">
        <f>'SA Apr 2017'!L23</f>
        <v>Business Saver</v>
      </c>
      <c r="C37" s="181">
        <f>91*'SA Apr 2017'!M23/100</f>
        <v>68.25</v>
      </c>
      <c r="D37" s="181">
        <f>($C$24*$C$25)*'SA Apr 2017'!N23/100</f>
        <v>1232.0000000000002</v>
      </c>
      <c r="E37" s="181">
        <v>0</v>
      </c>
      <c r="F37" s="181">
        <f>IF($C$24*$C$25&lt;'SA Apr 2017'!P23,(0),((('SA Bills April 2017'!$C$24*'SA Bills April 2017'!$C$25)-('SA Apr 2017'!P23))*'SA Apr 2017'!Q23/100))</f>
        <v>0</v>
      </c>
      <c r="G37" s="181">
        <f>($C$24*$C$26)*'SA Apr 2017'!AF23/100</f>
        <v>228</v>
      </c>
      <c r="H37" s="240">
        <v>0</v>
      </c>
      <c r="I37" s="185">
        <f t="shared" si="6"/>
        <v>1528.2500000000002</v>
      </c>
      <c r="J37" s="186">
        <f t="shared" si="7"/>
        <v>6113.0000000000009</v>
      </c>
      <c r="K37" s="187">
        <v>0</v>
      </c>
      <c r="L37" s="187">
        <f>'SA Apr 2017'!BA23</f>
        <v>20</v>
      </c>
      <c r="M37" s="187">
        <f>'SA Apr 2017'!BB23</f>
        <v>0</v>
      </c>
      <c r="N37" s="187">
        <f>'SA Apr 2017'!BC23</f>
        <v>0</v>
      </c>
      <c r="O37" s="186">
        <f>J37-((I37-C37)*L37/100)*4</f>
        <v>4945.0000000000009</v>
      </c>
      <c r="P37" s="186">
        <f>O37</f>
        <v>4945.0000000000009</v>
      </c>
      <c r="Q37" s="186">
        <f t="shared" si="8"/>
        <v>5439.5000000000018</v>
      </c>
      <c r="R37" s="186">
        <f t="shared" si="8"/>
        <v>5439.5000000000018</v>
      </c>
      <c r="S37" s="188">
        <v>12</v>
      </c>
      <c r="T37" s="189" t="s">
        <v>175</v>
      </c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</row>
    <row r="38" spans="1:82" s="249" customFormat="1" ht="14" x14ac:dyDescent="0.15">
      <c r="A38" s="234" t="str">
        <f>'SA Apr 2017'!K24</f>
        <v>Powerdirect</v>
      </c>
      <c r="B38" s="180" t="str">
        <f>'SA Apr 2017'!L24</f>
        <v>Quarterly read</v>
      </c>
      <c r="C38" s="181">
        <f>91*'SA Apr 2017'!M24/100</f>
        <v>73.518900000000002</v>
      </c>
      <c r="D38" s="181">
        <f>IF(($C$24*$C$25)&gt;='SA Apr 2017'!P24,('SA Apr 2017'!P24*'SA Apr 2017'!N24/100),(('SA Bills April 2017'!$C$24*'SA Bills April 2017'!$C$25)*'SA Apr 2017'!N24/100))</f>
        <v>807.5</v>
      </c>
      <c r="E38" s="181">
        <v>0</v>
      </c>
      <c r="F38" s="181">
        <f>IF($C$24*$C$25&lt;'SA Apr 2017'!P24,(0),((('SA Bills April 2017'!$C$24*'SA Bills April 2017'!$C$25)-('SA Apr 2017'!P24))*'SA Apr 2017'!Q24/100))</f>
        <v>322.99999999999994</v>
      </c>
      <c r="G38" s="181">
        <f>($C$24*$C$26)*'SA Apr 2017'!AF24/100</f>
        <v>247.5</v>
      </c>
      <c r="H38" s="240">
        <v>0</v>
      </c>
      <c r="I38" s="185">
        <f t="shared" si="6"/>
        <v>1451.5189</v>
      </c>
      <c r="J38" s="186">
        <f t="shared" si="7"/>
        <v>5806.0756000000001</v>
      </c>
      <c r="K38" s="187">
        <v>0</v>
      </c>
      <c r="L38" s="187">
        <f>'SA Apr 2017'!BA24</f>
        <v>0</v>
      </c>
      <c r="M38" s="187">
        <f>'SA Apr 2017'!BB24</f>
        <v>0</v>
      </c>
      <c r="N38" s="187">
        <f>'SA Apr 2017'!BC24</f>
        <v>0</v>
      </c>
      <c r="O38" s="186">
        <f t="shared" ref="O38" si="11">J38</f>
        <v>5806.0756000000001</v>
      </c>
      <c r="P38" s="186">
        <f t="shared" si="10"/>
        <v>5806.0756000000001</v>
      </c>
      <c r="Q38" s="186">
        <f t="shared" si="8"/>
        <v>6386.6831600000005</v>
      </c>
      <c r="R38" s="186">
        <f t="shared" si="8"/>
        <v>6386.6831600000005</v>
      </c>
      <c r="S38" s="188">
        <v>0</v>
      </c>
      <c r="T38" s="189" t="s">
        <v>174</v>
      </c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</row>
    <row r="39" spans="1:82" s="225" customFormat="1" ht="14" x14ac:dyDescent="0.15">
      <c r="A39" s="234" t="str">
        <f>'SA Apr 2017'!K25</f>
        <v>Red Energy</v>
      </c>
      <c r="B39" s="180" t="str">
        <f>'SA Apr 2017'!L25</f>
        <v>Living Energy Saver</v>
      </c>
      <c r="C39" s="181">
        <f>91*'SA Apr 2017'!M25/100</f>
        <v>84.347899999999996</v>
      </c>
      <c r="D39" s="181">
        <f>IF(($C$24*$C$25)&gt;='SA Apr 2017'!P25,('SA Apr 2017'!P25*'SA Apr 2017'!N25/100),(('SA Bills April 2017'!$C$24*'SA Bills April 2017'!$C$25)*'SA Apr 2017'!N25/100))</f>
        <v>787.25</v>
      </c>
      <c r="E39" s="181">
        <v>0</v>
      </c>
      <c r="F39" s="181">
        <f>IF($C$24*$C$25&lt;'SA Apr 2017'!P25,(0),((('SA Bills April 2017'!$C$24*'SA Bills April 2017'!$C$25)-('SA Apr 2017'!P25))*'SA Apr 2017'!Q25/100))</f>
        <v>334.8</v>
      </c>
      <c r="G39" s="181">
        <f>($C$24*$C$26)*'SA Apr 2017'!AF25/100</f>
        <v>262.5</v>
      </c>
      <c r="H39" s="240">
        <v>0</v>
      </c>
      <c r="I39" s="185">
        <f t="shared" si="6"/>
        <v>1468.8978999999999</v>
      </c>
      <c r="J39" s="186">
        <f t="shared" si="7"/>
        <v>5875.5915999999997</v>
      </c>
      <c r="K39" s="187">
        <v>0</v>
      </c>
      <c r="L39" s="187">
        <f>'SA Apr 2017'!BA25</f>
        <v>0</v>
      </c>
      <c r="M39" s="187">
        <f>'SA Apr 2017'!BB25</f>
        <v>10</v>
      </c>
      <c r="N39" s="187">
        <f>'SA Apr 2017'!BC25</f>
        <v>0</v>
      </c>
      <c r="O39" s="186">
        <f>J39</f>
        <v>5875.5915999999997</v>
      </c>
      <c r="P39" s="186">
        <f>O39-(O39*M39/100)</f>
        <v>5288.03244</v>
      </c>
      <c r="Q39" s="186">
        <f t="shared" si="8"/>
        <v>6463.1507600000004</v>
      </c>
      <c r="R39" s="186">
        <f t="shared" si="8"/>
        <v>5816.8356840000006</v>
      </c>
      <c r="S39" s="188">
        <v>0</v>
      </c>
      <c r="T39" s="189" t="s">
        <v>174</v>
      </c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</row>
    <row r="40" spans="1:82" s="249" customFormat="1" ht="15" thickBot="1" x14ac:dyDescent="0.2">
      <c r="A40" s="235" t="str">
        <f>'SA Apr 2017'!K26</f>
        <v>Simply Energy</v>
      </c>
      <c r="B40" s="207" t="str">
        <f>'SA Apr 2017'!L26</f>
        <v>Business Plus Online</v>
      </c>
      <c r="C40" s="193">
        <f>91*'SA Apr 2017'!M26/100</f>
        <v>71.425899999999999</v>
      </c>
      <c r="D40" s="193">
        <f>($C$24*$C$25)*'SA Apr 2017'!N26/100</f>
        <v>1181.25</v>
      </c>
      <c r="E40" s="193">
        <v>0</v>
      </c>
      <c r="F40" s="193">
        <f>IF($C$24*$C$25&lt;'SA Apr 2017'!P26,(0),((('SA Bills April 2017'!$C$24*'SA Bills April 2017'!$C$25)-('SA Apr 2017'!P26))*'SA Apr 2017'!Q26/100))</f>
        <v>0</v>
      </c>
      <c r="G40" s="193">
        <f>($C$24*$C$26)*'SA Apr 2017'!AF26/100</f>
        <v>310.8</v>
      </c>
      <c r="H40" s="241">
        <v>0</v>
      </c>
      <c r="I40" s="195">
        <f t="shared" si="6"/>
        <v>1563.4758999999999</v>
      </c>
      <c r="J40" s="196">
        <f t="shared" si="7"/>
        <v>6253.9035999999996</v>
      </c>
      <c r="K40" s="197">
        <v>0</v>
      </c>
      <c r="L40" s="197">
        <f>'SA Apr 2017'!BA26</f>
        <v>15</v>
      </c>
      <c r="M40" s="197">
        <f>'SA Apr 2017'!BB26</f>
        <v>0</v>
      </c>
      <c r="N40" s="197">
        <f>'SA Apr 2017'!BC26</f>
        <v>0</v>
      </c>
      <c r="O40" s="196">
        <f>J40-((I40-C40)*L40/100)*4</f>
        <v>5358.6736000000001</v>
      </c>
      <c r="P40" s="196">
        <f>O40</f>
        <v>5358.6736000000001</v>
      </c>
      <c r="Q40" s="196">
        <f t="shared" si="8"/>
        <v>5894.5409600000003</v>
      </c>
      <c r="R40" s="196">
        <f t="shared" si="8"/>
        <v>5894.5409600000003</v>
      </c>
      <c r="S40" s="198">
        <v>24</v>
      </c>
      <c r="T40" s="199" t="s">
        <v>175</v>
      </c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</row>
    <row r="41" spans="1:82" s="227" customFormat="1" ht="14" x14ac:dyDescent="0.15">
      <c r="A41" s="245"/>
      <c r="B41" s="245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</row>
    <row r="42" spans="1:82" s="227" customFormat="1" ht="15" thickBot="1" x14ac:dyDescent="0.2">
      <c r="A42" s="245"/>
      <c r="B42" s="245"/>
      <c r="C42" s="245"/>
      <c r="D42" s="245"/>
      <c r="E42" s="245"/>
      <c r="F42" s="247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7"/>
      <c r="R42" s="247"/>
      <c r="S42" s="247"/>
      <c r="T42" s="247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</row>
    <row r="43" spans="1:82" ht="14" x14ac:dyDescent="0.15">
      <c r="A43" s="165" t="s">
        <v>176</v>
      </c>
      <c r="B43" s="166"/>
      <c r="C43" s="166"/>
      <c r="D43" s="166"/>
      <c r="E43" s="166"/>
      <c r="F43" s="210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8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/>
      <c r="AL43" s="245"/>
      <c r="AM43" s="245"/>
      <c r="AN43" s="245"/>
      <c r="AO43" s="245"/>
      <c r="AP43" s="245"/>
      <c r="AQ43" s="245"/>
      <c r="AR43" s="245"/>
      <c r="AS43" s="245"/>
      <c r="AT43" s="245"/>
      <c r="AU43" s="245"/>
      <c r="AV43" s="245"/>
      <c r="AW43" s="245"/>
    </row>
    <row r="44" spans="1:82" ht="14" x14ac:dyDescent="0.15">
      <c r="A44" s="169" t="s">
        <v>197</v>
      </c>
      <c r="B44" s="134"/>
      <c r="C44" s="170">
        <v>5000</v>
      </c>
      <c r="D44" s="134"/>
      <c r="E44" s="134"/>
      <c r="F44" s="211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72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5"/>
      <c r="AS44" s="245"/>
      <c r="AT44" s="245"/>
      <c r="AU44" s="245"/>
      <c r="AV44" s="245"/>
      <c r="AW44" s="245"/>
    </row>
    <row r="45" spans="1:82" ht="14" x14ac:dyDescent="0.15">
      <c r="A45" s="169" t="s">
        <v>85</v>
      </c>
      <c r="B45" s="134"/>
      <c r="C45" s="206">
        <v>0.7</v>
      </c>
      <c r="D45" s="134"/>
      <c r="E45" s="134"/>
      <c r="F45" s="211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72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</row>
    <row r="46" spans="1:82" ht="14" x14ac:dyDescent="0.15">
      <c r="A46" s="169" t="s">
        <v>172</v>
      </c>
      <c r="B46" s="134"/>
      <c r="C46" s="206">
        <v>0.3</v>
      </c>
      <c r="D46" s="134"/>
      <c r="E46" s="134"/>
      <c r="F46" s="211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72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</row>
    <row r="47" spans="1:82" ht="14" x14ac:dyDescent="0.15">
      <c r="A47" s="169"/>
      <c r="B47" s="134"/>
      <c r="C47" s="134"/>
      <c r="D47" s="134"/>
      <c r="E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72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</row>
    <row r="48" spans="1:82" ht="75" x14ac:dyDescent="0.15">
      <c r="A48" s="230" t="s">
        <v>216</v>
      </c>
      <c r="B48" s="231" t="s">
        <v>198</v>
      </c>
      <c r="C48" s="173" t="s">
        <v>199</v>
      </c>
      <c r="D48" s="173" t="s">
        <v>200</v>
      </c>
      <c r="E48" s="173" t="s">
        <v>201</v>
      </c>
      <c r="F48" s="173" t="s">
        <v>202</v>
      </c>
      <c r="G48" s="173" t="s">
        <v>164</v>
      </c>
      <c r="H48" s="173" t="s">
        <v>173</v>
      </c>
      <c r="I48" s="173" t="s">
        <v>165</v>
      </c>
      <c r="J48" s="174" t="s">
        <v>166</v>
      </c>
      <c r="K48" s="175" t="s">
        <v>167</v>
      </c>
      <c r="L48" s="175" t="s">
        <v>168</v>
      </c>
      <c r="M48" s="175" t="s">
        <v>169</v>
      </c>
      <c r="N48" s="175" t="s">
        <v>170</v>
      </c>
      <c r="O48" s="176" t="s">
        <v>579</v>
      </c>
      <c r="P48" s="176" t="s">
        <v>580</v>
      </c>
      <c r="Q48" s="176" t="s">
        <v>227</v>
      </c>
      <c r="R48" s="176" t="s">
        <v>272</v>
      </c>
      <c r="S48" s="175" t="s">
        <v>82</v>
      </c>
      <c r="T48" s="177" t="s">
        <v>83</v>
      </c>
      <c r="U48" s="245"/>
      <c r="V48" s="248"/>
      <c r="W48" s="245"/>
      <c r="X48" s="248"/>
      <c r="Y48" s="245"/>
      <c r="Z48" s="248"/>
      <c r="AA48" s="245"/>
      <c r="AB48" s="248"/>
      <c r="AC48" s="245"/>
      <c r="AD48" s="248"/>
      <c r="AE48" s="245"/>
      <c r="AF48" s="248"/>
      <c r="AG48" s="245"/>
      <c r="AH48" s="248"/>
      <c r="AI48" s="245"/>
      <c r="AJ48" s="248"/>
      <c r="AK48" s="245"/>
      <c r="AL48" s="248"/>
      <c r="AM48" s="245"/>
      <c r="AN48" s="248"/>
      <c r="AO48" s="245"/>
      <c r="AP48" s="248"/>
      <c r="AQ48" s="245"/>
      <c r="AR48" s="248"/>
      <c r="AS48" s="245"/>
      <c r="AT48" s="248"/>
      <c r="AU48" s="245"/>
      <c r="AV48" s="248"/>
      <c r="AW48" s="245"/>
    </row>
    <row r="49" spans="1:82" ht="14" x14ac:dyDescent="0.15">
      <c r="A49" s="234" t="str">
        <f>'SA Apr 2017'!K27</f>
        <v>AGL</v>
      </c>
      <c r="B49" s="180" t="str">
        <f>'SA Apr 2017'!L27</f>
        <v xml:space="preserve">Business Savers </v>
      </c>
      <c r="C49" s="181">
        <f>91*'SA Apr 2017'!M27/100</f>
        <v>68.623099999999994</v>
      </c>
      <c r="D49" s="243">
        <f>($C$44*$C$45)*'SA Apr 2017'!N27/100</f>
        <v>1341.7249999999999</v>
      </c>
      <c r="E49" s="181">
        <v>0</v>
      </c>
      <c r="F49" s="181">
        <v>0</v>
      </c>
      <c r="G49" s="181">
        <v>0</v>
      </c>
      <c r="H49" s="181">
        <f>($C$44*$C$46)*'SA Apr 2017'!W27/100</f>
        <v>337.8</v>
      </c>
      <c r="I49" s="185">
        <f>SUM(C49:H49)</f>
        <v>1748.1480999999999</v>
      </c>
      <c r="J49" s="186">
        <f>I49*4</f>
        <v>6992.5923999999995</v>
      </c>
      <c r="K49" s="187">
        <v>0</v>
      </c>
      <c r="L49" s="187">
        <f>'SA Apr 2017'!BA27</f>
        <v>16</v>
      </c>
      <c r="M49" s="187">
        <f>'SA Apr 2017'!BB27</f>
        <v>0</v>
      </c>
      <c r="N49" s="187">
        <f>'SA Apr 2017'!BC27</f>
        <v>0</v>
      </c>
      <c r="O49" s="186">
        <f>J49-((I49-C49)*L49/100)*4</f>
        <v>5917.6963999999998</v>
      </c>
      <c r="P49" s="186">
        <f>O49</f>
        <v>5917.6963999999998</v>
      </c>
      <c r="Q49" s="186">
        <f>O49*1.1</f>
        <v>6509.4660400000002</v>
      </c>
      <c r="R49" s="186">
        <f>P49*1.1</f>
        <v>6509.4660400000002</v>
      </c>
      <c r="S49" s="188">
        <f>'SA Apr 2017'!BJ27</f>
        <v>0</v>
      </c>
      <c r="T49" s="189" t="str">
        <f>'SA Apr 2017'!BK27</f>
        <v>n</v>
      </c>
      <c r="U49" s="245"/>
      <c r="V49" s="248"/>
      <c r="W49" s="245"/>
      <c r="X49" s="248"/>
      <c r="Y49" s="245"/>
      <c r="Z49" s="248"/>
      <c r="AA49" s="245"/>
      <c r="AB49" s="248"/>
      <c r="AC49" s="245"/>
      <c r="AD49" s="248"/>
      <c r="AE49" s="245"/>
      <c r="AF49" s="248"/>
      <c r="AG49" s="245"/>
      <c r="AH49" s="248"/>
      <c r="AI49" s="245"/>
      <c r="AJ49" s="248"/>
      <c r="AK49" s="245"/>
      <c r="AL49" s="248"/>
      <c r="AM49" s="245"/>
      <c r="AN49" s="248"/>
      <c r="AO49" s="245"/>
      <c r="AP49" s="248"/>
      <c r="AQ49" s="245"/>
      <c r="AR49" s="248"/>
      <c r="AS49" s="245"/>
      <c r="AT49" s="248"/>
      <c r="AU49" s="245"/>
      <c r="AV49" s="248"/>
      <c r="AW49" s="245"/>
    </row>
    <row r="50" spans="1:82" s="249" customFormat="1" ht="14" x14ac:dyDescent="0.15">
      <c r="A50" s="234" t="str">
        <f>'SA Apr 2017'!K28</f>
        <v>Alinta Energy</v>
      </c>
      <c r="B50" s="180" t="str">
        <f>'SA Apr 2017'!L28</f>
        <v>Fair Go Business</v>
      </c>
      <c r="C50" s="181">
        <f>91*'SA Apr 2017'!M28/100</f>
        <v>90.199200000000005</v>
      </c>
      <c r="D50" s="243">
        <f>($C$44*$C$45)*'SA Apr 2017'!N28/100</f>
        <v>1705.55</v>
      </c>
      <c r="E50" s="181">
        <v>0</v>
      </c>
      <c r="F50" s="181">
        <v>0</v>
      </c>
      <c r="G50" s="181">
        <v>0</v>
      </c>
      <c r="H50" s="181">
        <f>($C$44*$C$46)*'SA Apr 2017'!W28/100</f>
        <v>429.75</v>
      </c>
      <c r="I50" s="185">
        <f t="shared" ref="I50:I61" si="12">SUM(C50:H50)</f>
        <v>2225.4992000000002</v>
      </c>
      <c r="J50" s="186">
        <f t="shared" ref="J50:J61" si="13">I50*4</f>
        <v>8901.9968000000008</v>
      </c>
      <c r="K50" s="187">
        <v>0</v>
      </c>
      <c r="L50" s="187">
        <f>'SA Apr 2017'!BA28</f>
        <v>0</v>
      </c>
      <c r="M50" s="187">
        <f>'SA Apr 2017'!BB28</f>
        <v>0</v>
      </c>
      <c r="N50" s="187">
        <f>'SA Apr 2017'!BC28</f>
        <v>25</v>
      </c>
      <c r="O50" s="186">
        <f>J50</f>
        <v>8901.9968000000008</v>
      </c>
      <c r="P50" s="186">
        <f>O50-((I50-C50)*N50/100)*4</f>
        <v>6766.6968000000006</v>
      </c>
      <c r="Q50" s="186">
        <f t="shared" ref="Q50:R61" si="14">O50*1.1</f>
        <v>9792.1964800000023</v>
      </c>
      <c r="R50" s="186">
        <f t="shared" si="14"/>
        <v>7443.3664800000015</v>
      </c>
      <c r="S50" s="188">
        <f>'SA Apr 2017'!BJ28</f>
        <v>0</v>
      </c>
      <c r="T50" s="189" t="str">
        <f>'SA Apr 2017'!BK28</f>
        <v>n</v>
      </c>
      <c r="U50" s="245"/>
      <c r="V50" s="248"/>
      <c r="W50" s="245"/>
      <c r="X50" s="248"/>
      <c r="Y50" s="245"/>
      <c r="Z50" s="248"/>
      <c r="AA50" s="245"/>
      <c r="AB50" s="248"/>
      <c r="AC50" s="245"/>
      <c r="AD50" s="248"/>
      <c r="AE50" s="245"/>
      <c r="AF50" s="248"/>
      <c r="AG50" s="245"/>
      <c r="AH50" s="248"/>
      <c r="AI50" s="245"/>
      <c r="AJ50" s="248"/>
      <c r="AK50" s="245"/>
      <c r="AL50" s="248"/>
      <c r="AM50" s="245"/>
      <c r="AN50" s="248"/>
      <c r="AO50" s="245"/>
      <c r="AP50" s="248"/>
      <c r="AQ50" s="245"/>
      <c r="AR50" s="248"/>
      <c r="AS50" s="245"/>
      <c r="AT50" s="248"/>
      <c r="AU50" s="245"/>
      <c r="AV50" s="248"/>
      <c r="AW50" s="245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</row>
    <row r="51" spans="1:82" ht="14" x14ac:dyDescent="0.15">
      <c r="A51" s="234" t="str">
        <f>'SA Apr 2017'!K29</f>
        <v>Click Energy</v>
      </c>
      <c r="B51" s="180" t="str">
        <f>'SA Apr 2017'!L29</f>
        <v>Click Business</v>
      </c>
      <c r="C51" s="181">
        <f>91*'SA Apr 2017'!M29/100</f>
        <v>85.612800000000007</v>
      </c>
      <c r="D51" s="243">
        <f>($C$44*$C$45)*'SA Apr 2017'!N29/100</f>
        <v>1266.72</v>
      </c>
      <c r="E51" s="181">
        <v>0</v>
      </c>
      <c r="F51" s="181">
        <v>0</v>
      </c>
      <c r="G51" s="181">
        <v>0</v>
      </c>
      <c r="H51" s="181">
        <f>($C$44*$C$46)*'SA Apr 2017'!W29/100</f>
        <v>397.44</v>
      </c>
      <c r="I51" s="185">
        <f t="shared" si="12"/>
        <v>1749.7728000000002</v>
      </c>
      <c r="J51" s="186">
        <f t="shared" si="13"/>
        <v>6999.0912000000008</v>
      </c>
      <c r="K51" s="187">
        <v>0</v>
      </c>
      <c r="L51" s="187">
        <f>'SA Apr 2017'!BA29</f>
        <v>0</v>
      </c>
      <c r="M51" s="187">
        <f>'SA Apr 2017'!BB29</f>
        <v>7</v>
      </c>
      <c r="N51" s="187">
        <f>'SA Apr 2017'!BC29</f>
        <v>0</v>
      </c>
      <c r="O51" s="186">
        <f>J51</f>
        <v>6999.0912000000008</v>
      </c>
      <c r="P51" s="186">
        <f>O51-(O51*M51/100)</f>
        <v>6509.1548160000011</v>
      </c>
      <c r="Q51" s="186">
        <f t="shared" si="14"/>
        <v>7699.000320000001</v>
      </c>
      <c r="R51" s="186">
        <f t="shared" si="14"/>
        <v>7160.070297600002</v>
      </c>
      <c r="S51" s="188">
        <f>'SA Apr 2017'!BJ29</f>
        <v>0</v>
      </c>
      <c r="T51" s="189" t="str">
        <f>'SA Apr 2017'!BK29</f>
        <v>n</v>
      </c>
      <c r="U51" s="245"/>
      <c r="V51" s="248"/>
      <c r="W51" s="245"/>
      <c r="X51" s="248"/>
      <c r="Y51" s="245"/>
      <c r="Z51" s="248"/>
      <c r="AA51" s="245"/>
      <c r="AB51" s="248"/>
      <c r="AC51" s="245"/>
      <c r="AD51" s="248"/>
      <c r="AE51" s="245"/>
      <c r="AF51" s="248"/>
      <c r="AG51" s="245"/>
      <c r="AH51" s="248"/>
      <c r="AI51" s="245"/>
      <c r="AJ51" s="248"/>
      <c r="AK51" s="245"/>
      <c r="AL51" s="248"/>
      <c r="AM51" s="245"/>
      <c r="AN51" s="248"/>
      <c r="AO51" s="245"/>
      <c r="AP51" s="248"/>
      <c r="AQ51" s="245"/>
      <c r="AR51" s="248"/>
      <c r="AS51" s="245"/>
      <c r="AT51" s="248"/>
      <c r="AU51" s="245"/>
      <c r="AV51" s="248"/>
      <c r="AW51" s="245"/>
    </row>
    <row r="52" spans="1:82" s="249" customFormat="1" ht="14" x14ac:dyDescent="0.15">
      <c r="A52" s="234" t="str">
        <f>'SA Apr 2017'!K30</f>
        <v>Commander</v>
      </c>
      <c r="B52" s="180" t="str">
        <f>'SA Apr 2017'!L30</f>
        <v>Market offer</v>
      </c>
      <c r="C52" s="181">
        <f>91*'SA Apr 2017'!M30/100</f>
        <v>68.704999999999998</v>
      </c>
      <c r="D52" s="243">
        <f>($C$44*$C$45)*'SA Apr 2017'!N30/100</f>
        <v>1422.75</v>
      </c>
      <c r="E52" s="181">
        <v>0</v>
      </c>
      <c r="F52" s="181">
        <v>0</v>
      </c>
      <c r="G52" s="181">
        <v>0</v>
      </c>
      <c r="H52" s="181">
        <f>($C$44*$C$46)*'SA Apr 2017'!W30/100</f>
        <v>342.75</v>
      </c>
      <c r="I52" s="185">
        <f t="shared" si="12"/>
        <v>1834.2049999999999</v>
      </c>
      <c r="J52" s="186">
        <f t="shared" si="13"/>
        <v>7336.82</v>
      </c>
      <c r="K52" s="187">
        <v>0</v>
      </c>
      <c r="L52" s="187">
        <f>'SA Apr 2017'!BA30</f>
        <v>0</v>
      </c>
      <c r="M52" s="187">
        <f>'SA Apr 2017'!BB30</f>
        <v>0</v>
      </c>
      <c r="N52" s="187">
        <f>'SA Apr 2017'!BC30</f>
        <v>20</v>
      </c>
      <c r="O52" s="186">
        <f>J52</f>
        <v>7336.82</v>
      </c>
      <c r="P52" s="186">
        <f>O52-((I52-C52)*N52/100)*4</f>
        <v>5924.42</v>
      </c>
      <c r="Q52" s="186">
        <f t="shared" si="14"/>
        <v>8070.5020000000004</v>
      </c>
      <c r="R52" s="186">
        <f t="shared" si="14"/>
        <v>6516.862000000001</v>
      </c>
      <c r="S52" s="188">
        <f>'SA Apr 2017'!BJ30</f>
        <v>0</v>
      </c>
      <c r="T52" s="189" t="str">
        <f>'SA Apr 2017'!BK30</f>
        <v>n</v>
      </c>
      <c r="U52" s="245"/>
      <c r="V52" s="248"/>
      <c r="W52" s="245"/>
      <c r="X52" s="248"/>
      <c r="Y52" s="245"/>
      <c r="Z52" s="248"/>
      <c r="AA52" s="245"/>
      <c r="AB52" s="248"/>
      <c r="AC52" s="245"/>
      <c r="AD52" s="248"/>
      <c r="AE52" s="245"/>
      <c r="AF52" s="248"/>
      <c r="AG52" s="245"/>
      <c r="AH52" s="248"/>
      <c r="AI52" s="245"/>
      <c r="AJ52" s="248"/>
      <c r="AK52" s="245"/>
      <c r="AL52" s="248"/>
      <c r="AM52" s="245"/>
      <c r="AN52" s="248"/>
      <c r="AO52" s="245"/>
      <c r="AP52" s="248"/>
      <c r="AQ52" s="245"/>
      <c r="AR52" s="248"/>
      <c r="AS52" s="245"/>
      <c r="AT52" s="248"/>
      <c r="AU52" s="245"/>
      <c r="AV52" s="248"/>
      <c r="AW52" s="245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</row>
    <row r="53" spans="1:82" ht="14" x14ac:dyDescent="0.15">
      <c r="A53" s="234" t="str">
        <f>'SA Apr 2017'!K31</f>
        <v>Diamond Energy</v>
      </c>
      <c r="B53" s="180" t="str">
        <f>'SA Apr 2017'!L31</f>
        <v>Pay on time discount</v>
      </c>
      <c r="C53" s="181">
        <f>91*'SA Apr 2017'!M31/100</f>
        <v>89.088999999999999</v>
      </c>
      <c r="D53" s="243">
        <f>IF(C44*C45&gt;='SA Apr 2017'!P31,('SA Apr 2017'!P31*'SA Apr 2017'!N31/100),((C44*C45)*'SA Apr 2017'!N31/100))</f>
        <v>369.8</v>
      </c>
      <c r="E53" s="181">
        <f>IF($C44*C45&lt;'SA Apr 2017'!P31,0,IF(($C44*C45-'SA Apr 2017'!P31)&lt;'SA Apr 2017'!R31,(($C44*C45-'SA Apr 2017'!P31)*'SA Apr 2017'!Q31/100),(('SA Apr 2017'!R31-'SA Apr 2017'!P31)*'SA Apr 2017'!Q31/100)))</f>
        <v>584.85</v>
      </c>
      <c r="F53" s="181">
        <v>0</v>
      </c>
      <c r="G53" s="181">
        <f>IF($C$44*$C$45&lt;'SA Apr 2017'!R31,(0),((('SA Bills April 2017'!$C$44*'SA Bills April 2017'!$C$45)-('SA Apr 2017'!R31))*'SA Apr 2017'!S31/100))</f>
        <v>409.8</v>
      </c>
      <c r="H53" s="181">
        <f>($C$44*$C$46)*'SA Apr 2017'!W31/100</f>
        <v>357.15</v>
      </c>
      <c r="I53" s="185">
        <f t="shared" si="12"/>
        <v>1810.6889999999999</v>
      </c>
      <c r="J53" s="186">
        <f t="shared" si="13"/>
        <v>7242.7559999999994</v>
      </c>
      <c r="K53" s="187">
        <v>0</v>
      </c>
      <c r="L53" s="187">
        <f>'SA Apr 2017'!BA31</f>
        <v>0</v>
      </c>
      <c r="M53" s="187">
        <f>'SA Apr 2017'!BB31</f>
        <v>7</v>
      </c>
      <c r="N53" s="187">
        <f>'SA Apr 2017'!BC31</f>
        <v>0</v>
      </c>
      <c r="O53" s="186">
        <f>J53</f>
        <v>7242.7559999999994</v>
      </c>
      <c r="P53" s="186">
        <f>O53-(O53*M53/100)</f>
        <v>6735.7630799999997</v>
      </c>
      <c r="Q53" s="186">
        <f t="shared" si="14"/>
        <v>7967.0316000000003</v>
      </c>
      <c r="R53" s="186">
        <f t="shared" si="14"/>
        <v>7409.3393880000003</v>
      </c>
      <c r="S53" s="188">
        <f>'SA Apr 2017'!BJ31</f>
        <v>24</v>
      </c>
      <c r="T53" s="189" t="str">
        <f>'SA Apr 2017'!BK31</f>
        <v>y</v>
      </c>
      <c r="U53" s="245"/>
      <c r="V53" s="248"/>
      <c r="W53" s="245"/>
      <c r="X53" s="248"/>
      <c r="Y53" s="245"/>
      <c r="Z53" s="248"/>
      <c r="AA53" s="245"/>
      <c r="AB53" s="248"/>
      <c r="AC53" s="245"/>
      <c r="AD53" s="248"/>
      <c r="AE53" s="245"/>
      <c r="AF53" s="248"/>
      <c r="AG53" s="245"/>
      <c r="AH53" s="248"/>
      <c r="AI53" s="245"/>
      <c r="AJ53" s="248"/>
      <c r="AK53" s="245"/>
      <c r="AL53" s="248"/>
      <c r="AM53" s="245"/>
      <c r="AN53" s="248"/>
      <c r="AO53" s="245"/>
      <c r="AP53" s="248"/>
      <c r="AQ53" s="245"/>
      <c r="AR53" s="248"/>
      <c r="AS53" s="245"/>
      <c r="AT53" s="248"/>
      <c r="AU53" s="245"/>
      <c r="AV53" s="248"/>
      <c r="AW53" s="245"/>
    </row>
    <row r="54" spans="1:82" s="249" customFormat="1" ht="14" x14ac:dyDescent="0.15">
      <c r="A54" s="234" t="str">
        <f>'SA Apr 2017'!K32</f>
        <v>EnergyAustralia</v>
      </c>
      <c r="B54" s="180" t="str">
        <f>'SA Apr 2017'!L32</f>
        <v>Everyday Saver Business</v>
      </c>
      <c r="C54" s="181">
        <f>91*'SA Apr 2017'!M32/100</f>
        <v>68.795999999999992</v>
      </c>
      <c r="D54" s="243">
        <f>($C$44*$C$45)*'SA Apr 2017'!N32/100</f>
        <v>1566.95</v>
      </c>
      <c r="E54" s="181">
        <v>0</v>
      </c>
      <c r="F54" s="181">
        <v>0</v>
      </c>
      <c r="G54" s="181">
        <v>0</v>
      </c>
      <c r="H54" s="181">
        <f>($C$44*$C$46)*'SA Apr 2017'!W32/100</f>
        <v>297.04500000000002</v>
      </c>
      <c r="I54" s="185">
        <f t="shared" si="12"/>
        <v>1932.7910000000002</v>
      </c>
      <c r="J54" s="186">
        <f t="shared" si="13"/>
        <v>7731.1640000000007</v>
      </c>
      <c r="K54" s="187">
        <v>0</v>
      </c>
      <c r="L54" s="187">
        <f>'SA Apr 2017'!BA32</f>
        <v>19</v>
      </c>
      <c r="M54" s="187">
        <f>'SA Apr 2017'!BB32</f>
        <v>0</v>
      </c>
      <c r="N54" s="187">
        <f>'SA Apr 2017'!BC32</f>
        <v>0</v>
      </c>
      <c r="O54" s="186">
        <f>J54-((I54-C54)*L54/100)*4</f>
        <v>6314.5278000000008</v>
      </c>
      <c r="P54" s="186">
        <f>O54</f>
        <v>6314.5278000000008</v>
      </c>
      <c r="Q54" s="186">
        <f t="shared" si="14"/>
        <v>6945.9805800000013</v>
      </c>
      <c r="R54" s="186">
        <f t="shared" si="14"/>
        <v>6945.9805800000013</v>
      </c>
      <c r="S54" s="188">
        <f>'SA Apr 2017'!BJ32</f>
        <v>24</v>
      </c>
      <c r="T54" s="189" t="str">
        <f>'SA Apr 2017'!BK32</f>
        <v>y</v>
      </c>
      <c r="U54" s="245"/>
      <c r="V54" s="248"/>
      <c r="W54" s="245"/>
      <c r="X54" s="248"/>
      <c r="Y54" s="245"/>
      <c r="Z54" s="248"/>
      <c r="AA54" s="245"/>
      <c r="AB54" s="248"/>
      <c r="AC54" s="245"/>
      <c r="AD54" s="248"/>
      <c r="AE54" s="245"/>
      <c r="AF54" s="248"/>
      <c r="AG54" s="245"/>
      <c r="AH54" s="248"/>
      <c r="AI54" s="245"/>
      <c r="AJ54" s="248"/>
      <c r="AK54" s="245"/>
      <c r="AL54" s="248"/>
      <c r="AM54" s="245"/>
      <c r="AN54" s="248"/>
      <c r="AO54" s="245"/>
      <c r="AP54" s="248"/>
      <c r="AQ54" s="245"/>
      <c r="AR54" s="248"/>
      <c r="AS54" s="245"/>
      <c r="AT54" s="248"/>
      <c r="AU54" s="245"/>
      <c r="AV54" s="248"/>
      <c r="AW54" s="245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</row>
    <row r="55" spans="1:82" ht="14" x14ac:dyDescent="0.15">
      <c r="A55" s="234" t="str">
        <f>'SA Apr 2017'!K33</f>
        <v>ERM Power</v>
      </c>
      <c r="B55" s="180" t="str">
        <f>'SA Apr 2017'!L33</f>
        <v>Adjustable</v>
      </c>
      <c r="C55" s="181">
        <f>91*'SA Apr 2017'!M33/100</f>
        <v>94.64</v>
      </c>
      <c r="D55" s="243">
        <f>($C$44*$C$45)*'SA Apr 2017'!N33/100</f>
        <v>1440.6</v>
      </c>
      <c r="E55" s="181">
        <v>0</v>
      </c>
      <c r="F55" s="181">
        <v>0</v>
      </c>
      <c r="G55" s="181">
        <v>0</v>
      </c>
      <c r="H55" s="181">
        <f>($C$44*$C$46)*'SA Apr 2017'!W33/100</f>
        <v>309.14999999999998</v>
      </c>
      <c r="I55" s="185">
        <f t="shared" si="12"/>
        <v>1844.3899999999999</v>
      </c>
      <c r="J55" s="186">
        <f t="shared" si="13"/>
        <v>7377.5599999999995</v>
      </c>
      <c r="K55" s="187">
        <v>0</v>
      </c>
      <c r="L55" s="187">
        <f>'SA Apr 2017'!BA33</f>
        <v>0</v>
      </c>
      <c r="M55" s="187">
        <f>'SA Apr 2017'!BB33</f>
        <v>0</v>
      </c>
      <c r="N55" s="187">
        <f>'SA Apr 2017'!BC33</f>
        <v>0</v>
      </c>
      <c r="O55" s="186">
        <f>J55</f>
        <v>7377.5599999999995</v>
      </c>
      <c r="P55" s="186">
        <f>O55</f>
        <v>7377.5599999999995</v>
      </c>
      <c r="Q55" s="186">
        <f t="shared" si="14"/>
        <v>8115.3159999999998</v>
      </c>
      <c r="R55" s="186">
        <f t="shared" si="14"/>
        <v>8115.3159999999998</v>
      </c>
      <c r="S55" s="188">
        <f>'SA Apr 2017'!BJ33</f>
        <v>0</v>
      </c>
      <c r="T55" s="189" t="str">
        <f>'SA Apr 2017'!BK33</f>
        <v>n</v>
      </c>
      <c r="U55" s="245"/>
      <c r="V55" s="248"/>
      <c r="W55" s="245"/>
      <c r="X55" s="248"/>
      <c r="Y55" s="245"/>
      <c r="Z55" s="248"/>
      <c r="AA55" s="245"/>
      <c r="AB55" s="248"/>
      <c r="AC55" s="245"/>
      <c r="AD55" s="248"/>
      <c r="AE55" s="245"/>
      <c r="AF55" s="248"/>
      <c r="AG55" s="245"/>
      <c r="AH55" s="248"/>
      <c r="AI55" s="245"/>
      <c r="AJ55" s="248"/>
      <c r="AK55" s="245"/>
      <c r="AL55" s="248"/>
      <c r="AM55" s="245"/>
      <c r="AN55" s="248"/>
      <c r="AO55" s="245"/>
      <c r="AP55" s="248"/>
      <c r="AQ55" s="245"/>
      <c r="AR55" s="248"/>
      <c r="AS55" s="245"/>
      <c r="AT55" s="248"/>
      <c r="AU55" s="245"/>
      <c r="AV55" s="248"/>
      <c r="AW55" s="245"/>
    </row>
    <row r="56" spans="1:82" s="249" customFormat="1" ht="14" x14ac:dyDescent="0.15">
      <c r="A56" s="234" t="str">
        <f>'SA Apr 2017'!K34</f>
        <v>Lumo Energy</v>
      </c>
      <c r="B56" s="180" t="str">
        <f>'SA Apr 2017'!L34</f>
        <v>Business Premium</v>
      </c>
      <c r="C56" s="181">
        <f>91*'SA Apr 2017'!M34/100</f>
        <v>74.228699999999989</v>
      </c>
      <c r="D56" s="243">
        <f>IF($C$44*$C$45&gt;='SA Apr 2017'!P34,('SA Apr 2017'!P34*'SA Apr 2017'!N34/100),(($C$44*$C$45)*'SA Apr 2017'!N34/100))</f>
        <v>1133.6500000000001</v>
      </c>
      <c r="E56" s="181">
        <v>0</v>
      </c>
      <c r="F56" s="181">
        <v>0</v>
      </c>
      <c r="G56" s="181">
        <f>IF(($C$44*$C$45&lt;'SA Apr 2017'!P34),(0),(($C$44*$C$45)-'SA Apr 2017'!P34))*'SA Apr 2017'!Q34/100</f>
        <v>0</v>
      </c>
      <c r="H56" s="181">
        <f>($C$44*$C$46)*'SA Apr 2017'!W34/100</f>
        <v>311.7</v>
      </c>
      <c r="I56" s="185">
        <f t="shared" si="12"/>
        <v>1519.5787</v>
      </c>
      <c r="J56" s="186">
        <f t="shared" si="13"/>
        <v>6078.3148000000001</v>
      </c>
      <c r="K56" s="187">
        <v>0</v>
      </c>
      <c r="L56" s="187">
        <f>'SA Apr 2017'!BA34</f>
        <v>0</v>
      </c>
      <c r="M56" s="187">
        <f>'SA Apr 2017'!BB34</f>
        <v>0</v>
      </c>
      <c r="N56" s="187">
        <f>'SA Apr 2017'!BC34</f>
        <v>0</v>
      </c>
      <c r="O56" s="186">
        <f t="shared" ref="O56:O57" si="15">J56</f>
        <v>6078.3148000000001</v>
      </c>
      <c r="P56" s="186">
        <f t="shared" ref="P56:P59" si="16">O56</f>
        <v>6078.3148000000001</v>
      </c>
      <c r="Q56" s="186">
        <f t="shared" si="14"/>
        <v>6686.1462800000008</v>
      </c>
      <c r="R56" s="186">
        <f t="shared" si="14"/>
        <v>6686.1462800000008</v>
      </c>
      <c r="S56" s="188">
        <f>'SA Apr 2017'!BJ34</f>
        <v>36</v>
      </c>
      <c r="T56" s="189" t="str">
        <f>'SA Apr 2017'!BK34</f>
        <v>n</v>
      </c>
      <c r="U56" s="245"/>
      <c r="V56" s="248"/>
      <c r="W56" s="245"/>
      <c r="X56" s="248"/>
      <c r="Y56" s="245"/>
      <c r="Z56" s="248"/>
      <c r="AA56" s="245"/>
      <c r="AB56" s="248"/>
      <c r="AC56" s="245"/>
      <c r="AD56" s="248"/>
      <c r="AE56" s="245"/>
      <c r="AF56" s="248"/>
      <c r="AG56" s="245"/>
      <c r="AH56" s="248"/>
      <c r="AI56" s="245"/>
      <c r="AJ56" s="248"/>
      <c r="AK56" s="245"/>
      <c r="AL56" s="248"/>
      <c r="AM56" s="245"/>
      <c r="AN56" s="248"/>
      <c r="AO56" s="245"/>
      <c r="AP56" s="248"/>
      <c r="AQ56" s="245"/>
      <c r="AR56" s="248"/>
      <c r="AS56" s="245"/>
      <c r="AT56" s="248"/>
      <c r="AU56" s="245"/>
      <c r="AV56" s="248"/>
      <c r="AW56" s="245"/>
      <c r="AX56" s="227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</row>
    <row r="57" spans="1:82" ht="14" x14ac:dyDescent="0.15">
      <c r="A57" s="234" t="str">
        <f>'SA Apr 2017'!K35</f>
        <v>Momentum Energy</v>
      </c>
      <c r="B57" s="180" t="str">
        <f>'SA Apr 2017'!L35</f>
        <v>SmilePower</v>
      </c>
      <c r="C57" s="181">
        <f>91*'SA Apr 2017'!M35/100</f>
        <v>74.956699999999998</v>
      </c>
      <c r="D57" s="243">
        <f>IF($C$44*$C$45&gt;='SA Apr 2017'!P35,('SA Apr 2017'!P35*'SA Apr 2017'!N35/100),(($C$44*$C$45)*'SA Apr 2017'!N35/100))</f>
        <v>543.72</v>
      </c>
      <c r="E57" s="181">
        <v>0</v>
      </c>
      <c r="F57" s="181">
        <v>0</v>
      </c>
      <c r="G57" s="181">
        <f>IF(($C$44*$C$45&lt;'SA Apr 2017'!P35),(0),(($C$44*$C$45)-'SA Apr 2017'!P35))*'SA Apr 2017'!Q35/100</f>
        <v>971.06</v>
      </c>
      <c r="H57" s="181">
        <f>($C$44*$C$46)*'SA Apr 2017'!W35/100</f>
        <v>271.05</v>
      </c>
      <c r="I57" s="185">
        <f t="shared" si="12"/>
        <v>1860.7866999999999</v>
      </c>
      <c r="J57" s="186">
        <f t="shared" si="13"/>
        <v>7443.1467999999995</v>
      </c>
      <c r="K57" s="187">
        <v>0</v>
      </c>
      <c r="L57" s="187">
        <f>'SA Apr 2017'!BA35</f>
        <v>0</v>
      </c>
      <c r="M57" s="187">
        <f>'SA Apr 2017'!BB35</f>
        <v>0</v>
      </c>
      <c r="N57" s="187">
        <f>'SA Apr 2017'!BC35</f>
        <v>0</v>
      </c>
      <c r="O57" s="186">
        <f t="shared" si="15"/>
        <v>7443.1467999999995</v>
      </c>
      <c r="P57" s="186">
        <f t="shared" si="16"/>
        <v>7443.1467999999995</v>
      </c>
      <c r="Q57" s="186">
        <f t="shared" si="14"/>
        <v>8187.4614799999999</v>
      </c>
      <c r="R57" s="186">
        <f t="shared" si="14"/>
        <v>8187.4614799999999</v>
      </c>
      <c r="S57" s="188">
        <f>'SA Apr 2017'!BJ35</f>
        <v>12</v>
      </c>
      <c r="T57" s="189" t="str">
        <f>'SA Apr 2017'!BK35</f>
        <v>y</v>
      </c>
      <c r="U57" s="245"/>
      <c r="V57" s="248"/>
      <c r="W57" s="245"/>
      <c r="X57" s="248"/>
      <c r="Y57" s="245"/>
      <c r="Z57" s="248"/>
      <c r="AA57" s="245"/>
      <c r="AB57" s="248"/>
      <c r="AC57" s="245"/>
      <c r="AD57" s="248"/>
      <c r="AE57" s="245"/>
      <c r="AF57" s="248"/>
      <c r="AG57" s="245"/>
      <c r="AH57" s="248"/>
      <c r="AI57" s="245"/>
      <c r="AJ57" s="248"/>
      <c r="AK57" s="245"/>
      <c r="AL57" s="248"/>
      <c r="AM57" s="245"/>
      <c r="AN57" s="248"/>
      <c r="AO57" s="245"/>
      <c r="AP57" s="248"/>
      <c r="AQ57" s="245"/>
      <c r="AR57" s="248"/>
      <c r="AS57" s="245"/>
      <c r="AT57" s="248"/>
      <c r="AU57" s="245"/>
      <c r="AV57" s="248"/>
      <c r="AW57" s="245"/>
    </row>
    <row r="58" spans="1:82" s="249" customFormat="1" ht="14" x14ac:dyDescent="0.15">
      <c r="A58" s="234" t="str">
        <f>'SA Apr 2017'!K36</f>
        <v>Origin Energy</v>
      </c>
      <c r="B58" s="180" t="str">
        <f>'SA Apr 2017'!L36</f>
        <v>Business Saver</v>
      </c>
      <c r="C58" s="181">
        <f>91*'SA Apr 2017'!M36/100</f>
        <v>68.25</v>
      </c>
      <c r="D58" s="243">
        <f>($C$44*$C$45)*'SA Apr 2017'!N36/100</f>
        <v>1340.15</v>
      </c>
      <c r="E58" s="181">
        <v>0</v>
      </c>
      <c r="F58" s="181">
        <v>0</v>
      </c>
      <c r="G58" s="181">
        <v>0</v>
      </c>
      <c r="H58" s="181">
        <f>($C$44*$C$46)*'SA Apr 2017'!W36/100</f>
        <v>336.75</v>
      </c>
      <c r="I58" s="185">
        <f t="shared" si="12"/>
        <v>1745.15</v>
      </c>
      <c r="J58" s="186">
        <f t="shared" si="13"/>
        <v>6980.6</v>
      </c>
      <c r="K58" s="187">
        <v>0</v>
      </c>
      <c r="L58" s="187">
        <f>'SA Apr 2017'!BA36</f>
        <v>20</v>
      </c>
      <c r="M58" s="187">
        <f>'SA Apr 2017'!BB36</f>
        <v>0</v>
      </c>
      <c r="N58" s="187">
        <f>'SA Apr 2017'!BC36</f>
        <v>0</v>
      </c>
      <c r="O58" s="186">
        <f>J58-((I58-C58)*L58/100)*4</f>
        <v>5639.08</v>
      </c>
      <c r="P58" s="186">
        <f>O58</f>
        <v>5639.08</v>
      </c>
      <c r="Q58" s="186">
        <f t="shared" si="14"/>
        <v>6202.9880000000003</v>
      </c>
      <c r="R58" s="186">
        <f t="shared" si="14"/>
        <v>6202.9880000000003</v>
      </c>
      <c r="S58" s="188">
        <f>'SA Apr 2017'!BJ36</f>
        <v>12</v>
      </c>
      <c r="T58" s="189" t="str">
        <f>'SA Apr 2017'!BK36</f>
        <v>y</v>
      </c>
      <c r="U58" s="245"/>
      <c r="V58" s="248"/>
      <c r="W58" s="245"/>
      <c r="X58" s="248"/>
      <c r="Y58" s="245"/>
      <c r="Z58" s="248"/>
      <c r="AA58" s="245"/>
      <c r="AB58" s="248"/>
      <c r="AC58" s="245"/>
      <c r="AD58" s="248"/>
      <c r="AE58" s="245"/>
      <c r="AF58" s="248"/>
      <c r="AG58" s="245"/>
      <c r="AH58" s="248"/>
      <c r="AI58" s="245"/>
      <c r="AJ58" s="248"/>
      <c r="AK58" s="245"/>
      <c r="AL58" s="248"/>
      <c r="AM58" s="245"/>
      <c r="AN58" s="248"/>
      <c r="AO58" s="245"/>
      <c r="AP58" s="248"/>
      <c r="AQ58" s="245"/>
      <c r="AR58" s="248"/>
      <c r="AS58" s="245"/>
      <c r="AT58" s="248"/>
      <c r="AU58" s="245"/>
      <c r="AV58" s="248"/>
      <c r="AW58" s="245"/>
      <c r="AX58" s="227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</row>
    <row r="59" spans="1:82" s="225" customFormat="1" ht="14" x14ac:dyDescent="0.15">
      <c r="A59" s="234" t="str">
        <f>'SA Apr 2017'!K37</f>
        <v>Powerdirect</v>
      </c>
      <c r="B59" s="180" t="str">
        <f>'SA Apr 2017'!L37</f>
        <v>Quarterly read</v>
      </c>
      <c r="C59" s="181">
        <f>91*'SA Apr 2017'!M37/100</f>
        <v>73.518900000000002</v>
      </c>
      <c r="D59" s="243">
        <f>($C$44*$C$45)*'SA Apr 2017'!N37/100</f>
        <v>1228.1500000000001</v>
      </c>
      <c r="E59" s="181">
        <v>0</v>
      </c>
      <c r="F59" s="181">
        <v>0</v>
      </c>
      <c r="G59" s="181">
        <v>0</v>
      </c>
      <c r="H59" s="181">
        <f>($C$44*$C$46)*'SA Apr 2017'!W37/100</f>
        <v>310.05</v>
      </c>
      <c r="I59" s="185">
        <f t="shared" si="12"/>
        <v>1611.7189000000001</v>
      </c>
      <c r="J59" s="186">
        <f t="shared" si="13"/>
        <v>6446.8756000000003</v>
      </c>
      <c r="K59" s="187">
        <v>0</v>
      </c>
      <c r="L59" s="187">
        <f>'SA Apr 2017'!BA37</f>
        <v>0</v>
      </c>
      <c r="M59" s="187">
        <f>'SA Apr 2017'!BB37</f>
        <v>0</v>
      </c>
      <c r="N59" s="187">
        <f>'SA Apr 2017'!BC37</f>
        <v>0</v>
      </c>
      <c r="O59" s="186">
        <f t="shared" ref="O59" si="17">J59</f>
        <v>6446.8756000000003</v>
      </c>
      <c r="P59" s="186">
        <f t="shared" si="16"/>
        <v>6446.8756000000003</v>
      </c>
      <c r="Q59" s="186">
        <f t="shared" si="14"/>
        <v>7091.5631600000006</v>
      </c>
      <c r="R59" s="186">
        <f t="shared" si="14"/>
        <v>7091.5631600000006</v>
      </c>
      <c r="S59" s="188">
        <f>'SA Apr 2017'!BJ37</f>
        <v>0</v>
      </c>
      <c r="T59" s="189" t="str">
        <f>'SA Apr 2017'!BK37</f>
        <v>n</v>
      </c>
      <c r="U59" s="245"/>
      <c r="V59" s="248"/>
      <c r="W59" s="245"/>
      <c r="X59" s="248"/>
      <c r="Y59" s="245"/>
      <c r="Z59" s="248"/>
      <c r="AA59" s="245"/>
      <c r="AB59" s="248"/>
      <c r="AC59" s="245"/>
      <c r="AD59" s="248"/>
      <c r="AE59" s="245"/>
      <c r="AF59" s="248"/>
      <c r="AG59" s="245"/>
      <c r="AH59" s="248"/>
      <c r="AI59" s="245"/>
      <c r="AJ59" s="248"/>
      <c r="AK59" s="245"/>
      <c r="AL59" s="248"/>
      <c r="AM59" s="245"/>
      <c r="AN59" s="248"/>
      <c r="AO59" s="245"/>
      <c r="AP59" s="248"/>
      <c r="AQ59" s="245"/>
      <c r="AR59" s="248"/>
      <c r="AS59" s="245"/>
      <c r="AT59" s="248"/>
      <c r="AU59" s="245"/>
      <c r="AV59" s="248"/>
      <c r="AW59" s="245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</row>
    <row r="60" spans="1:82" s="249" customFormat="1" ht="14" x14ac:dyDescent="0.15">
      <c r="A60" s="234" t="str">
        <f>'SA Apr 2017'!K38</f>
        <v>Red Energy</v>
      </c>
      <c r="B60" s="180" t="str">
        <f>'SA Apr 2017'!L38</f>
        <v>Living Energy Saver</v>
      </c>
      <c r="C60" s="181">
        <f>91*'SA Apr 2017'!M38/100</f>
        <v>84.347899999999996</v>
      </c>
      <c r="D60" s="243">
        <f>($C$44*$C$45)*'SA Apr 2017'!N38/100</f>
        <v>1288.3500000000001</v>
      </c>
      <c r="E60" s="181">
        <v>0</v>
      </c>
      <c r="F60" s="181">
        <v>0</v>
      </c>
      <c r="G60" s="181">
        <v>0</v>
      </c>
      <c r="H60" s="181">
        <f>($C$44*$C$46)*'SA Apr 2017'!W38/100</f>
        <v>354.15</v>
      </c>
      <c r="I60" s="185">
        <f t="shared" si="12"/>
        <v>1726.8479000000002</v>
      </c>
      <c r="J60" s="186">
        <f t="shared" si="13"/>
        <v>6907.3916000000008</v>
      </c>
      <c r="K60" s="187">
        <v>0</v>
      </c>
      <c r="L60" s="187">
        <f>'SA Apr 2017'!BA38</f>
        <v>0</v>
      </c>
      <c r="M60" s="187">
        <f>'SA Apr 2017'!BB38</f>
        <v>10</v>
      </c>
      <c r="N60" s="187">
        <f>'SA Apr 2017'!BC38</f>
        <v>0</v>
      </c>
      <c r="O60" s="186">
        <f>J60</f>
        <v>6907.3916000000008</v>
      </c>
      <c r="P60" s="186">
        <f>O60-(O60*M60/100)</f>
        <v>6216.6524400000008</v>
      </c>
      <c r="Q60" s="186">
        <f t="shared" si="14"/>
        <v>7598.1307600000018</v>
      </c>
      <c r="R60" s="186">
        <f t="shared" si="14"/>
        <v>6838.3176840000015</v>
      </c>
      <c r="S60" s="188">
        <f>'SA Apr 2017'!BJ38</f>
        <v>24</v>
      </c>
      <c r="T60" s="189" t="str">
        <f>'SA Apr 2017'!BK38</f>
        <v>y</v>
      </c>
      <c r="U60" s="245"/>
      <c r="V60" s="248"/>
      <c r="W60" s="245"/>
      <c r="X60" s="248"/>
      <c r="Y60" s="245"/>
      <c r="Z60" s="248"/>
      <c r="AA60" s="245"/>
      <c r="AB60" s="248"/>
      <c r="AC60" s="245"/>
      <c r="AD60" s="248"/>
      <c r="AE60" s="245"/>
      <c r="AF60" s="248"/>
      <c r="AG60" s="245"/>
      <c r="AH60" s="248"/>
      <c r="AI60" s="245"/>
      <c r="AJ60" s="248"/>
      <c r="AK60" s="245"/>
      <c r="AL60" s="248"/>
      <c r="AM60" s="245"/>
      <c r="AN60" s="248"/>
      <c r="AO60" s="245"/>
      <c r="AP60" s="248"/>
      <c r="AQ60" s="245"/>
      <c r="AR60" s="248"/>
      <c r="AS60" s="245"/>
      <c r="AT60" s="248"/>
      <c r="AU60" s="245"/>
      <c r="AV60" s="248"/>
      <c r="AW60" s="245"/>
      <c r="AX60" s="227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</row>
    <row r="61" spans="1:82" s="225" customFormat="1" ht="15" thickBot="1" x14ac:dyDescent="0.2">
      <c r="A61" s="235" t="str">
        <f>'SA Apr 2017'!K39</f>
        <v>Simply Energy</v>
      </c>
      <c r="B61" s="207" t="str">
        <f>'SA Apr 2017'!L39</f>
        <v>Business Plus Online</v>
      </c>
      <c r="C61" s="193">
        <f>91*'SA Apr 2017'!M39/100</f>
        <v>71.425899999999999</v>
      </c>
      <c r="D61" s="244">
        <f>($C$44*$C$45)*'SA Apr 2017'!N39/100</f>
        <v>1385.3</v>
      </c>
      <c r="E61" s="193">
        <v>0</v>
      </c>
      <c r="F61" s="193">
        <v>0</v>
      </c>
      <c r="G61" s="193">
        <v>0</v>
      </c>
      <c r="H61" s="193">
        <f>($C$44*$C$46)*'SA Apr 2017'!W39/100</f>
        <v>347.7</v>
      </c>
      <c r="I61" s="195">
        <f t="shared" si="12"/>
        <v>1804.4259</v>
      </c>
      <c r="J61" s="196">
        <f t="shared" si="13"/>
        <v>7217.7035999999998</v>
      </c>
      <c r="K61" s="197">
        <v>0</v>
      </c>
      <c r="L61" s="197">
        <f>'SA Apr 2017'!BA39</f>
        <v>15</v>
      </c>
      <c r="M61" s="197">
        <f>'SA Apr 2017'!BB39</f>
        <v>0</v>
      </c>
      <c r="N61" s="197">
        <f>'SA Apr 2017'!BC39</f>
        <v>0</v>
      </c>
      <c r="O61" s="196">
        <f>J61-((I61-C61)*L61/100)*4</f>
        <v>6177.9035999999996</v>
      </c>
      <c r="P61" s="196">
        <f>O61</f>
        <v>6177.9035999999996</v>
      </c>
      <c r="Q61" s="196">
        <f t="shared" si="14"/>
        <v>6795.6939600000005</v>
      </c>
      <c r="R61" s="196">
        <f t="shared" si="14"/>
        <v>6795.6939600000005</v>
      </c>
      <c r="S61" s="198">
        <f>'SA Apr 2017'!BJ39</f>
        <v>24</v>
      </c>
      <c r="T61" s="199" t="str">
        <f>'SA Apr 2017'!BK39</f>
        <v>y</v>
      </c>
      <c r="U61" s="245"/>
      <c r="V61" s="248"/>
      <c r="W61" s="245"/>
      <c r="X61" s="248"/>
      <c r="Y61" s="245"/>
      <c r="Z61" s="248"/>
      <c r="AA61" s="245"/>
      <c r="AB61" s="248"/>
      <c r="AC61" s="245"/>
      <c r="AD61" s="248"/>
      <c r="AE61" s="245"/>
      <c r="AF61" s="248"/>
      <c r="AG61" s="245"/>
      <c r="AH61" s="248"/>
      <c r="AI61" s="245"/>
      <c r="AJ61" s="248"/>
      <c r="AK61" s="245"/>
      <c r="AL61" s="248"/>
      <c r="AM61" s="245"/>
      <c r="AN61" s="248"/>
      <c r="AO61" s="245"/>
      <c r="AP61" s="248"/>
      <c r="AQ61" s="245"/>
      <c r="AR61" s="248"/>
      <c r="AS61" s="245"/>
      <c r="AT61" s="248"/>
      <c r="AU61" s="245"/>
      <c r="AV61" s="248"/>
      <c r="AW61" s="245"/>
      <c r="AX61" s="227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</row>
    <row r="62" spans="1:82" s="227" customFormat="1" ht="14" x14ac:dyDescent="0.15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8"/>
      <c r="W62" s="245"/>
      <c r="X62" s="248"/>
      <c r="Y62" s="245"/>
      <c r="Z62" s="248"/>
      <c r="AA62" s="245"/>
      <c r="AB62" s="248"/>
      <c r="AC62" s="245"/>
      <c r="AD62" s="248"/>
      <c r="AE62" s="245"/>
      <c r="AF62" s="248"/>
      <c r="AG62" s="245"/>
      <c r="AH62" s="248"/>
      <c r="AI62" s="245"/>
      <c r="AJ62" s="248"/>
      <c r="AK62" s="245"/>
      <c r="AL62" s="248"/>
      <c r="AM62" s="245"/>
      <c r="AN62" s="248"/>
      <c r="AO62" s="245"/>
      <c r="AP62" s="248"/>
      <c r="AQ62" s="245"/>
      <c r="AR62" s="248"/>
      <c r="AS62" s="245"/>
      <c r="AT62" s="248"/>
      <c r="AU62" s="245"/>
      <c r="AV62" s="248"/>
      <c r="AW62" s="245"/>
    </row>
    <row r="63" spans="1:82" s="227" customFormat="1" ht="14" x14ac:dyDescent="0.15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</row>
    <row r="64" spans="1:82" s="227" customFormat="1" ht="14" x14ac:dyDescent="0.15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</row>
    <row r="65" spans="1:49" s="227" customFormat="1" ht="14" x14ac:dyDescent="0.15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</row>
    <row r="66" spans="1:49" s="227" customFormat="1" ht="14" x14ac:dyDescent="0.15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</row>
    <row r="67" spans="1:49" s="227" customFormat="1" ht="14" x14ac:dyDescent="0.15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</row>
    <row r="68" spans="1:49" s="227" customFormat="1" ht="14" x14ac:dyDescent="0.15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</row>
    <row r="69" spans="1:49" s="227" customFormat="1" ht="14" x14ac:dyDescent="0.15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</row>
    <row r="70" spans="1:49" s="227" customFormat="1" ht="14" x14ac:dyDescent="0.15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</row>
    <row r="71" spans="1:49" s="227" customFormat="1" ht="14" x14ac:dyDescent="0.15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</row>
    <row r="72" spans="1:49" s="227" customFormat="1" ht="14" x14ac:dyDescent="0.15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  <c r="AU72" s="245"/>
      <c r="AV72" s="245"/>
      <c r="AW72" s="245"/>
    </row>
    <row r="73" spans="1:49" s="227" customFormat="1" ht="14" x14ac:dyDescent="0.15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</row>
    <row r="74" spans="1:49" s="227" customFormat="1" ht="14" x14ac:dyDescent="0.15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</row>
    <row r="75" spans="1:49" s="227" customFormat="1" ht="14" x14ac:dyDescent="0.15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  <c r="AJ75" s="245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5"/>
      <c r="AV75" s="245"/>
      <c r="AW75" s="245"/>
    </row>
    <row r="76" spans="1:49" s="227" customFormat="1" ht="14" x14ac:dyDescent="0.15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</row>
    <row r="77" spans="1:49" s="227" customFormat="1" ht="14" x14ac:dyDescent="0.15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</row>
    <row r="78" spans="1:49" s="227" customFormat="1" ht="14" x14ac:dyDescent="0.15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</row>
    <row r="79" spans="1:49" s="227" customFormat="1" ht="14" x14ac:dyDescent="0.15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</row>
    <row r="80" spans="1:49" s="227" customFormat="1" ht="14" x14ac:dyDescent="0.15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</row>
    <row r="81" spans="1:49" s="227" customFormat="1" ht="14" x14ac:dyDescent="0.15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</row>
    <row r="82" spans="1:49" s="227" customFormat="1" ht="14" x14ac:dyDescent="0.15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</row>
    <row r="83" spans="1:49" s="227" customFormat="1" ht="14" x14ac:dyDescent="0.15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</row>
    <row r="84" spans="1:49" s="227" customFormat="1" ht="14" x14ac:dyDescent="0.15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</row>
    <row r="85" spans="1:49" s="227" customFormat="1" ht="14" x14ac:dyDescent="0.15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</row>
    <row r="86" spans="1:49" s="227" customFormat="1" ht="14" x14ac:dyDescent="0.15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</row>
    <row r="87" spans="1:49" s="227" customFormat="1" ht="14" x14ac:dyDescent="0.15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</row>
    <row r="88" spans="1:49" s="227" customFormat="1" ht="14" x14ac:dyDescent="0.15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</row>
    <row r="89" spans="1:49" s="227" customFormat="1" ht="14" x14ac:dyDescent="0.15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</row>
    <row r="90" spans="1:49" s="227" customFormat="1" ht="14" x14ac:dyDescent="0.15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</row>
    <row r="91" spans="1:49" s="227" customFormat="1" ht="14" x14ac:dyDescent="0.15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</row>
    <row r="92" spans="1:49" s="227" customFormat="1" ht="14" x14ac:dyDescent="0.15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</row>
    <row r="93" spans="1:49" s="227" customFormat="1" ht="14" x14ac:dyDescent="0.15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</row>
    <row r="94" spans="1:49" s="227" customFormat="1" ht="14" x14ac:dyDescent="0.15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  <c r="AU94" s="245"/>
      <c r="AV94" s="245"/>
      <c r="AW94" s="245"/>
    </row>
    <row r="95" spans="1:49" s="227" customFormat="1" ht="14" x14ac:dyDescent="0.15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  <c r="AU95" s="245"/>
      <c r="AV95" s="245"/>
      <c r="AW95" s="245"/>
    </row>
    <row r="96" spans="1:49" s="227" customFormat="1" ht="14" x14ac:dyDescent="0.15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245"/>
      <c r="AJ96" s="245"/>
      <c r="AK96" s="245"/>
      <c r="AL96" s="245"/>
      <c r="AM96" s="245"/>
      <c r="AN96" s="245"/>
      <c r="AO96" s="245"/>
      <c r="AP96" s="245"/>
      <c r="AQ96" s="245"/>
      <c r="AR96" s="245"/>
      <c r="AS96" s="245"/>
      <c r="AT96" s="245"/>
      <c r="AU96" s="245"/>
      <c r="AV96" s="245"/>
      <c r="AW96" s="245"/>
    </row>
    <row r="97" spans="1:49" s="227" customFormat="1" ht="14" x14ac:dyDescent="0.15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  <c r="AU97" s="245"/>
      <c r="AV97" s="245"/>
      <c r="AW97" s="245"/>
    </row>
    <row r="98" spans="1:49" s="227" customFormat="1" ht="14" x14ac:dyDescent="0.15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</row>
    <row r="99" spans="1:49" s="227" customFormat="1" ht="14" x14ac:dyDescent="0.15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</row>
    <row r="100" spans="1:49" s="227" customFormat="1" ht="14" x14ac:dyDescent="0.15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</row>
    <row r="101" spans="1:49" s="227" customFormat="1" ht="14" x14ac:dyDescent="0.15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</row>
    <row r="102" spans="1:49" s="227" customFormat="1" ht="14" x14ac:dyDescent="0.15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</row>
    <row r="103" spans="1:49" s="227" customFormat="1" ht="14" x14ac:dyDescent="0.15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</row>
    <row r="104" spans="1:49" s="227" customFormat="1" ht="14" x14ac:dyDescent="0.15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  <c r="AU104" s="245"/>
      <c r="AV104" s="245"/>
      <c r="AW104" s="245"/>
    </row>
    <row r="105" spans="1:49" s="227" customFormat="1" ht="14" x14ac:dyDescent="0.15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45"/>
      <c r="AL105" s="245"/>
      <c r="AM105" s="245"/>
      <c r="AN105" s="245"/>
      <c r="AO105" s="245"/>
      <c r="AP105" s="245"/>
      <c r="AQ105" s="245"/>
      <c r="AR105" s="245"/>
      <c r="AS105" s="245"/>
      <c r="AT105" s="245"/>
      <c r="AU105" s="245"/>
      <c r="AV105" s="245"/>
      <c r="AW105" s="245"/>
    </row>
    <row r="106" spans="1:49" s="227" customFormat="1" ht="14" x14ac:dyDescent="0.15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  <c r="AU106" s="245"/>
      <c r="AV106" s="245"/>
      <c r="AW106" s="245"/>
    </row>
    <row r="107" spans="1:49" s="227" customFormat="1" ht="14" x14ac:dyDescent="0.15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45"/>
      <c r="AL107" s="245"/>
      <c r="AM107" s="245"/>
      <c r="AN107" s="245"/>
      <c r="AO107" s="245"/>
      <c r="AP107" s="245"/>
      <c r="AQ107" s="245"/>
      <c r="AR107" s="245"/>
      <c r="AS107" s="245"/>
      <c r="AT107" s="245"/>
      <c r="AU107" s="245"/>
      <c r="AV107" s="245"/>
      <c r="AW107" s="245"/>
    </row>
    <row r="108" spans="1:49" s="227" customFormat="1" ht="14" x14ac:dyDescent="0.15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45"/>
      <c r="AL108" s="245"/>
      <c r="AM108" s="245"/>
      <c r="AN108" s="245"/>
      <c r="AO108" s="245"/>
      <c r="AP108" s="245"/>
      <c r="AQ108" s="245"/>
      <c r="AR108" s="245"/>
      <c r="AS108" s="245"/>
      <c r="AT108" s="245"/>
      <c r="AU108" s="245"/>
      <c r="AV108" s="245"/>
      <c r="AW108" s="245"/>
    </row>
    <row r="109" spans="1:49" s="227" customFormat="1" ht="14" x14ac:dyDescent="0.15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  <c r="AV109" s="245"/>
      <c r="AW109" s="245"/>
    </row>
    <row r="110" spans="1:49" s="227" customFormat="1" ht="14" x14ac:dyDescent="0.15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45"/>
      <c r="AL110" s="245"/>
      <c r="AM110" s="245"/>
      <c r="AN110" s="245"/>
      <c r="AO110" s="245"/>
      <c r="AP110" s="245"/>
      <c r="AQ110" s="245"/>
      <c r="AR110" s="245"/>
      <c r="AS110" s="245"/>
      <c r="AT110" s="245"/>
      <c r="AU110" s="245"/>
      <c r="AV110" s="245"/>
      <c r="AW110" s="245"/>
    </row>
    <row r="111" spans="1:49" s="227" customFormat="1" ht="14" x14ac:dyDescent="0.15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  <c r="AJ111" s="245"/>
      <c r="AK111" s="245"/>
      <c r="AL111" s="245"/>
      <c r="AM111" s="245"/>
      <c r="AN111" s="245"/>
      <c r="AO111" s="245"/>
      <c r="AP111" s="245"/>
      <c r="AQ111" s="245"/>
      <c r="AR111" s="245"/>
      <c r="AS111" s="245"/>
      <c r="AT111" s="245"/>
      <c r="AU111" s="245"/>
      <c r="AV111" s="245"/>
      <c r="AW111" s="245"/>
    </row>
    <row r="112" spans="1:49" s="227" customFormat="1" ht="14" x14ac:dyDescent="0.15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  <c r="AJ112" s="245"/>
      <c r="AK112" s="245"/>
      <c r="AL112" s="245"/>
      <c r="AM112" s="245"/>
      <c r="AN112" s="245"/>
      <c r="AO112" s="245"/>
      <c r="AP112" s="245"/>
      <c r="AQ112" s="245"/>
      <c r="AR112" s="245"/>
      <c r="AS112" s="245"/>
      <c r="AT112" s="245"/>
      <c r="AU112" s="245"/>
      <c r="AV112" s="245"/>
      <c r="AW112" s="245"/>
    </row>
    <row r="113" spans="1:49" s="227" customFormat="1" ht="14" x14ac:dyDescent="0.15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  <c r="AJ113" s="245"/>
      <c r="AK113" s="245"/>
      <c r="AL113" s="245"/>
      <c r="AM113" s="245"/>
      <c r="AN113" s="245"/>
      <c r="AO113" s="245"/>
      <c r="AP113" s="245"/>
      <c r="AQ113" s="245"/>
      <c r="AR113" s="245"/>
      <c r="AS113" s="245"/>
      <c r="AT113" s="245"/>
      <c r="AU113" s="245"/>
      <c r="AV113" s="245"/>
      <c r="AW113" s="245"/>
    </row>
    <row r="114" spans="1:49" s="227" customFormat="1" ht="14" x14ac:dyDescent="0.15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  <c r="AJ114" s="245"/>
      <c r="AK114" s="245"/>
      <c r="AL114" s="245"/>
      <c r="AM114" s="245"/>
      <c r="AN114" s="245"/>
      <c r="AO114" s="245"/>
      <c r="AP114" s="245"/>
      <c r="AQ114" s="245"/>
      <c r="AR114" s="245"/>
      <c r="AS114" s="245"/>
      <c r="AT114" s="245"/>
      <c r="AU114" s="245"/>
      <c r="AV114" s="245"/>
      <c r="AW114" s="245"/>
    </row>
    <row r="115" spans="1:49" s="227" customFormat="1" ht="14" x14ac:dyDescent="0.15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  <c r="AU115" s="245"/>
      <c r="AV115" s="245"/>
      <c r="AW115" s="245"/>
    </row>
    <row r="116" spans="1:49" s="227" customFormat="1" ht="14" x14ac:dyDescent="0.15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  <c r="AJ116" s="245"/>
      <c r="AK116" s="245"/>
      <c r="AL116" s="245"/>
      <c r="AM116" s="245"/>
      <c r="AN116" s="245"/>
      <c r="AO116" s="245"/>
      <c r="AP116" s="245"/>
      <c r="AQ116" s="245"/>
      <c r="AR116" s="245"/>
      <c r="AS116" s="245"/>
      <c r="AT116" s="245"/>
      <c r="AU116" s="245"/>
      <c r="AV116" s="245"/>
      <c r="AW116" s="245"/>
    </row>
    <row r="117" spans="1:49" s="227" customFormat="1" ht="14" x14ac:dyDescent="0.15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  <c r="AJ117" s="245"/>
      <c r="AK117" s="245"/>
      <c r="AL117" s="245"/>
      <c r="AM117" s="245"/>
      <c r="AN117" s="245"/>
      <c r="AO117" s="245"/>
      <c r="AP117" s="245"/>
      <c r="AQ117" s="245"/>
      <c r="AR117" s="245"/>
      <c r="AS117" s="245"/>
      <c r="AT117" s="245"/>
      <c r="AU117" s="245"/>
      <c r="AV117" s="245"/>
      <c r="AW117" s="245"/>
    </row>
    <row r="118" spans="1:49" s="227" customFormat="1" ht="14" x14ac:dyDescent="0.15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  <c r="AU118" s="245"/>
      <c r="AV118" s="245"/>
      <c r="AW118" s="245"/>
    </row>
    <row r="119" spans="1:49" s="227" customFormat="1" ht="14" x14ac:dyDescent="0.15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</row>
    <row r="120" spans="1:49" s="227" customFormat="1" ht="14" x14ac:dyDescent="0.15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  <c r="AV120" s="245"/>
      <c r="AW120" s="245"/>
    </row>
    <row r="121" spans="1:49" s="227" customFormat="1" ht="14" x14ac:dyDescent="0.15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</row>
    <row r="122" spans="1:49" s="227" customFormat="1" ht="14" x14ac:dyDescent="0.15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  <c r="AV122" s="245"/>
      <c r="AW122" s="245"/>
    </row>
    <row r="123" spans="1:49" s="227" customFormat="1" ht="14" x14ac:dyDescent="0.15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  <c r="AU123" s="245"/>
      <c r="AV123" s="245"/>
      <c r="AW123" s="245"/>
    </row>
    <row r="124" spans="1:49" s="227" customFormat="1" ht="14" x14ac:dyDescent="0.15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  <c r="AV124" s="245"/>
      <c r="AW124" s="245"/>
    </row>
    <row r="125" spans="1:49" s="227" customFormat="1" ht="14" x14ac:dyDescent="0.15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  <c r="AU125" s="245"/>
      <c r="AV125" s="245"/>
      <c r="AW125" s="245"/>
    </row>
    <row r="126" spans="1:49" s="227" customFormat="1" ht="14" x14ac:dyDescent="0.15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  <c r="AU126" s="245"/>
      <c r="AV126" s="245"/>
      <c r="AW126" s="245"/>
    </row>
    <row r="127" spans="1:49" s="227" customFormat="1" ht="14" x14ac:dyDescent="0.15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</row>
    <row r="128" spans="1:49" s="227" customFormat="1" ht="14" x14ac:dyDescent="0.15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  <c r="AU128" s="245"/>
      <c r="AV128" s="245"/>
      <c r="AW128" s="245"/>
    </row>
    <row r="129" spans="1:49" s="227" customFormat="1" ht="14" x14ac:dyDescent="0.15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  <c r="AV129" s="245"/>
      <c r="AW129" s="245"/>
    </row>
    <row r="130" spans="1:49" s="227" customFormat="1" ht="14" x14ac:dyDescent="0.15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</row>
    <row r="131" spans="1:49" s="227" customFormat="1" ht="14" x14ac:dyDescent="0.15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  <c r="AV131" s="245"/>
      <c r="AW131" s="245"/>
    </row>
    <row r="132" spans="1:49" s="227" customFormat="1" ht="14" x14ac:dyDescent="0.15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</row>
    <row r="133" spans="1:49" s="227" customFormat="1" ht="14" x14ac:dyDescent="0.15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</row>
    <row r="134" spans="1:49" s="227" customFormat="1" ht="14" x14ac:dyDescent="0.15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</row>
    <row r="135" spans="1:49" s="227" customFormat="1" ht="14" x14ac:dyDescent="0.15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  <c r="AV135" s="245"/>
      <c r="AW135" s="245"/>
    </row>
    <row r="136" spans="1:49" s="227" customFormat="1" ht="14" x14ac:dyDescent="0.15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  <c r="AV136" s="245"/>
      <c r="AW136" s="245"/>
    </row>
    <row r="137" spans="1:49" s="227" customFormat="1" ht="14" x14ac:dyDescent="0.15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  <c r="AV137" s="245"/>
      <c r="AW137" s="245"/>
    </row>
    <row r="138" spans="1:49" s="227" customFormat="1" ht="14" x14ac:dyDescent="0.15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245"/>
      <c r="AW138" s="245"/>
    </row>
    <row r="139" spans="1:49" s="227" customFormat="1" ht="14" x14ac:dyDescent="0.15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245"/>
      <c r="AW139" s="245"/>
    </row>
    <row r="140" spans="1:49" s="227" customFormat="1" ht="14" x14ac:dyDescent="0.15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  <c r="AV140" s="245"/>
      <c r="AW140" s="245"/>
    </row>
    <row r="141" spans="1:49" s="227" customFormat="1" ht="14" x14ac:dyDescent="0.15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</row>
    <row r="142" spans="1:49" s="227" customFormat="1" ht="14" x14ac:dyDescent="0.15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  <c r="AJ142" s="245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  <c r="AU142" s="245"/>
      <c r="AV142" s="245"/>
      <c r="AW142" s="245"/>
    </row>
    <row r="143" spans="1:49" s="227" customFormat="1" ht="14" x14ac:dyDescent="0.15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  <c r="AJ143" s="245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  <c r="AU143" s="245"/>
      <c r="AV143" s="245"/>
      <c r="AW143" s="245"/>
    </row>
    <row r="144" spans="1:49" s="227" customFormat="1" ht="14" x14ac:dyDescent="0.15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245"/>
      <c r="AJ144" s="245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  <c r="AU144" s="245"/>
      <c r="AV144" s="245"/>
      <c r="AW144" s="245"/>
    </row>
    <row r="145" spans="1:49" s="227" customFormat="1" ht="14" x14ac:dyDescent="0.15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  <c r="AV145" s="245"/>
      <c r="AW145" s="245"/>
    </row>
    <row r="146" spans="1:49" s="227" customFormat="1" ht="14" x14ac:dyDescent="0.15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245"/>
      <c r="AJ146" s="245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  <c r="AU146" s="245"/>
      <c r="AV146" s="245"/>
      <c r="AW146" s="245"/>
    </row>
    <row r="147" spans="1:49" s="227" customFormat="1" ht="14" x14ac:dyDescent="0.15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245"/>
      <c r="AJ147" s="245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  <c r="AU147" s="245"/>
      <c r="AV147" s="245"/>
      <c r="AW147" s="245"/>
    </row>
    <row r="148" spans="1:49" s="227" customFormat="1" ht="14" x14ac:dyDescent="0.15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245"/>
      <c r="AJ148" s="245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  <c r="AU148" s="245"/>
      <c r="AV148" s="245"/>
      <c r="AW148" s="245"/>
    </row>
    <row r="149" spans="1:49" s="227" customFormat="1" ht="14" x14ac:dyDescent="0.15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245"/>
      <c r="AJ149" s="245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  <c r="AU149" s="245"/>
      <c r="AV149" s="245"/>
      <c r="AW149" s="245"/>
    </row>
    <row r="150" spans="1:49" s="227" customFormat="1" ht="14" x14ac:dyDescent="0.15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245"/>
      <c r="AJ150" s="245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245"/>
      <c r="AV150" s="245"/>
      <c r="AW150" s="245"/>
    </row>
    <row r="151" spans="1:49" s="227" customFormat="1" ht="14" x14ac:dyDescent="0.15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  <c r="AV151" s="245"/>
      <c r="AW151" s="245"/>
    </row>
    <row r="152" spans="1:49" s="227" customFormat="1" ht="14" x14ac:dyDescent="0.15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  <c r="AV152" s="245"/>
      <c r="AW152" s="245"/>
    </row>
    <row r="153" spans="1:49" s="227" customFormat="1" ht="14" x14ac:dyDescent="0.15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245"/>
      <c r="AV153" s="245"/>
      <c r="AW153" s="245"/>
    </row>
    <row r="154" spans="1:49" s="227" customFormat="1" ht="14" x14ac:dyDescent="0.15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245"/>
      <c r="AV154" s="245"/>
      <c r="AW154" s="245"/>
    </row>
    <row r="155" spans="1:49" s="227" customFormat="1" ht="14" x14ac:dyDescent="0.15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  <c r="AV155" s="245"/>
      <c r="AW155" s="245"/>
    </row>
    <row r="156" spans="1:49" s="227" customFormat="1" ht="14" x14ac:dyDescent="0.15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</row>
    <row r="157" spans="1:49" s="227" customFormat="1" ht="14" x14ac:dyDescent="0.15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  <c r="AV157" s="245"/>
      <c r="AW157" s="245"/>
    </row>
    <row r="158" spans="1:49" s="227" customFormat="1" ht="14" x14ac:dyDescent="0.15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245"/>
      <c r="AJ158" s="245"/>
      <c r="AK158" s="245"/>
      <c r="AL158" s="245"/>
      <c r="AM158" s="245"/>
      <c r="AN158" s="245"/>
      <c r="AO158" s="245"/>
      <c r="AP158" s="245"/>
      <c r="AQ158" s="245"/>
      <c r="AR158" s="245"/>
      <c r="AS158" s="245"/>
      <c r="AT158" s="245"/>
      <c r="AU158" s="245"/>
      <c r="AV158" s="245"/>
      <c r="AW158" s="245"/>
    </row>
    <row r="159" spans="1:49" s="227" customFormat="1" ht="14" x14ac:dyDescent="0.15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  <c r="AV159" s="245"/>
      <c r="AW159" s="245"/>
    </row>
    <row r="160" spans="1:49" s="227" customFormat="1" ht="14" x14ac:dyDescent="0.15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</row>
    <row r="161" spans="1:49" s="227" customFormat="1" ht="14" x14ac:dyDescent="0.15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245"/>
      <c r="AJ161" s="245"/>
      <c r="AK161" s="245"/>
      <c r="AL161" s="245"/>
      <c r="AM161" s="245"/>
      <c r="AN161" s="245"/>
      <c r="AO161" s="245"/>
      <c r="AP161" s="245"/>
      <c r="AQ161" s="245"/>
      <c r="AR161" s="245"/>
      <c r="AS161" s="245"/>
      <c r="AT161" s="245"/>
      <c r="AU161" s="245"/>
      <c r="AV161" s="245"/>
      <c r="AW161" s="245"/>
    </row>
    <row r="162" spans="1:49" s="227" customFormat="1" ht="14" x14ac:dyDescent="0.15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  <c r="AJ162" s="245"/>
      <c r="AK162" s="245"/>
      <c r="AL162" s="245"/>
      <c r="AM162" s="245"/>
      <c r="AN162" s="245"/>
      <c r="AO162" s="245"/>
      <c r="AP162" s="245"/>
      <c r="AQ162" s="245"/>
      <c r="AR162" s="245"/>
      <c r="AS162" s="245"/>
      <c r="AT162" s="245"/>
      <c r="AU162" s="245"/>
      <c r="AV162" s="245"/>
      <c r="AW162" s="245"/>
    </row>
    <row r="163" spans="1:49" s="227" customFormat="1" ht="14" x14ac:dyDescent="0.15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245"/>
      <c r="AJ163" s="245"/>
      <c r="AK163" s="245"/>
      <c r="AL163" s="245"/>
      <c r="AM163" s="245"/>
      <c r="AN163" s="245"/>
      <c r="AO163" s="245"/>
      <c r="AP163" s="245"/>
      <c r="AQ163" s="245"/>
      <c r="AR163" s="245"/>
      <c r="AS163" s="245"/>
      <c r="AT163" s="245"/>
      <c r="AU163" s="245"/>
      <c r="AV163" s="245"/>
      <c r="AW163" s="245"/>
    </row>
    <row r="164" spans="1:49" s="227" customFormat="1" ht="14" x14ac:dyDescent="0.15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245"/>
      <c r="AJ164" s="245"/>
      <c r="AK164" s="245"/>
      <c r="AL164" s="245"/>
      <c r="AM164" s="245"/>
      <c r="AN164" s="245"/>
      <c r="AO164" s="245"/>
      <c r="AP164" s="245"/>
      <c r="AQ164" s="245"/>
      <c r="AR164" s="245"/>
      <c r="AS164" s="245"/>
      <c r="AT164" s="245"/>
      <c r="AU164" s="245"/>
      <c r="AV164" s="245"/>
      <c r="AW164" s="245"/>
    </row>
    <row r="165" spans="1:49" s="227" customFormat="1" ht="14" x14ac:dyDescent="0.15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  <c r="AV165" s="245"/>
      <c r="AW165" s="245"/>
    </row>
    <row r="166" spans="1:49" s="227" customFormat="1" ht="14" x14ac:dyDescent="0.15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245"/>
      <c r="AJ166" s="245"/>
      <c r="AK166" s="245"/>
      <c r="AL166" s="245"/>
      <c r="AM166" s="245"/>
      <c r="AN166" s="245"/>
      <c r="AO166" s="245"/>
      <c r="AP166" s="245"/>
      <c r="AQ166" s="245"/>
      <c r="AR166" s="245"/>
      <c r="AS166" s="245"/>
      <c r="AT166" s="245"/>
      <c r="AU166" s="245"/>
      <c r="AV166" s="245"/>
      <c r="AW166" s="245"/>
    </row>
    <row r="167" spans="1:49" s="227" customFormat="1" ht="14" x14ac:dyDescent="0.15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</row>
    <row r="168" spans="1:49" s="227" customFormat="1" ht="14" x14ac:dyDescent="0.15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</row>
    <row r="169" spans="1:49" s="227" customFormat="1" ht="14" x14ac:dyDescent="0.15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245"/>
      <c r="AR169" s="245"/>
      <c r="AS169" s="245"/>
      <c r="AT169" s="245"/>
      <c r="AU169" s="245"/>
      <c r="AV169" s="245"/>
      <c r="AW169" s="245"/>
    </row>
    <row r="170" spans="1:49" s="227" customFormat="1" ht="14" x14ac:dyDescent="0.15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245"/>
      <c r="AR170" s="245"/>
      <c r="AS170" s="245"/>
      <c r="AT170" s="245"/>
      <c r="AU170" s="245"/>
      <c r="AV170" s="245"/>
      <c r="AW170" s="245"/>
    </row>
    <row r="171" spans="1:49" s="227" customFormat="1" ht="14" x14ac:dyDescent="0.15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  <c r="AV171" s="245"/>
      <c r="AW171" s="245"/>
    </row>
    <row r="172" spans="1:49" s="227" customFormat="1" ht="14" x14ac:dyDescent="0.15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245"/>
      <c r="AR172" s="245"/>
      <c r="AS172" s="245"/>
      <c r="AT172" s="245"/>
      <c r="AU172" s="245"/>
      <c r="AV172" s="245"/>
      <c r="AW172" s="245"/>
    </row>
    <row r="173" spans="1:49" s="227" customFormat="1" ht="14" x14ac:dyDescent="0.15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  <c r="AV173" s="245"/>
      <c r="AW173" s="245"/>
    </row>
    <row r="174" spans="1:49" s="227" customFormat="1" ht="14" x14ac:dyDescent="0.15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  <c r="AV174" s="245"/>
      <c r="AW174" s="245"/>
    </row>
    <row r="175" spans="1:49" s="227" customFormat="1" ht="14" x14ac:dyDescent="0.15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  <c r="AV175" s="245"/>
      <c r="AW175" s="245"/>
    </row>
    <row r="176" spans="1:49" s="227" customFormat="1" ht="14" x14ac:dyDescent="0.15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  <c r="AV176" s="245"/>
      <c r="AW176" s="245"/>
    </row>
    <row r="177" spans="1:49" s="227" customFormat="1" ht="14" x14ac:dyDescent="0.15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</row>
    <row r="178" spans="1:49" s="227" customFormat="1" ht="14" x14ac:dyDescent="0.15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  <c r="AV178" s="245"/>
      <c r="AW178" s="245"/>
    </row>
    <row r="179" spans="1:49" s="227" customFormat="1" ht="14" x14ac:dyDescent="0.15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</row>
    <row r="180" spans="1:49" s="227" customFormat="1" ht="14" x14ac:dyDescent="0.15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245"/>
      <c r="AR180" s="245"/>
      <c r="AS180" s="245"/>
      <c r="AT180" s="245"/>
      <c r="AU180" s="245"/>
      <c r="AV180" s="245"/>
      <c r="AW180" s="245"/>
    </row>
    <row r="181" spans="1:49" s="227" customFormat="1" ht="14" x14ac:dyDescent="0.15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245"/>
      <c r="AR181" s="245"/>
      <c r="AS181" s="245"/>
      <c r="AT181" s="245"/>
      <c r="AU181" s="245"/>
      <c r="AV181" s="245"/>
      <c r="AW181" s="245"/>
    </row>
    <row r="182" spans="1:49" s="227" customFormat="1" ht="14" x14ac:dyDescent="0.15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245"/>
      <c r="AR182" s="245"/>
      <c r="AS182" s="245"/>
      <c r="AT182" s="245"/>
      <c r="AU182" s="245"/>
      <c r="AV182" s="245"/>
      <c r="AW182" s="245"/>
    </row>
    <row r="183" spans="1:49" s="227" customFormat="1" ht="14" x14ac:dyDescent="0.15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245"/>
      <c r="AR183" s="245"/>
      <c r="AS183" s="245"/>
      <c r="AT183" s="245"/>
      <c r="AU183" s="245"/>
      <c r="AV183" s="245"/>
      <c r="AW183" s="245"/>
    </row>
    <row r="184" spans="1:49" s="227" customFormat="1" ht="14" x14ac:dyDescent="0.15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245"/>
      <c r="AR184" s="245"/>
      <c r="AS184" s="245"/>
      <c r="AT184" s="245"/>
      <c r="AU184" s="245"/>
      <c r="AV184" s="245"/>
      <c r="AW184" s="245"/>
    </row>
    <row r="185" spans="1:49" s="227" customFormat="1" ht="14" x14ac:dyDescent="0.15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245"/>
      <c r="AR185" s="245"/>
      <c r="AS185" s="245"/>
      <c r="AT185" s="245"/>
      <c r="AU185" s="245"/>
      <c r="AV185" s="245"/>
      <c r="AW185" s="245"/>
    </row>
    <row r="186" spans="1:49" s="227" customFormat="1" ht="14" x14ac:dyDescent="0.15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245"/>
      <c r="AR186" s="245"/>
      <c r="AS186" s="245"/>
      <c r="AT186" s="245"/>
      <c r="AU186" s="245"/>
      <c r="AV186" s="245"/>
      <c r="AW186" s="245"/>
    </row>
    <row r="187" spans="1:49" s="227" customFormat="1" ht="14" x14ac:dyDescent="0.15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  <c r="AG187" s="245"/>
      <c r="AH187" s="245"/>
      <c r="AI187" s="245"/>
      <c r="AJ187" s="245"/>
      <c r="AK187" s="245"/>
      <c r="AL187" s="245"/>
      <c r="AM187" s="245"/>
      <c r="AN187" s="245"/>
      <c r="AO187" s="245"/>
      <c r="AP187" s="245"/>
      <c r="AQ187" s="245"/>
      <c r="AR187" s="245"/>
      <c r="AS187" s="245"/>
      <c r="AT187" s="245"/>
      <c r="AU187" s="245"/>
      <c r="AV187" s="245"/>
      <c r="AW187" s="245"/>
    </row>
    <row r="188" spans="1:49" s="227" customFormat="1" ht="14" x14ac:dyDescent="0.15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  <c r="AG188" s="245"/>
      <c r="AH188" s="245"/>
      <c r="AI188" s="245"/>
      <c r="AJ188" s="245"/>
      <c r="AK188" s="245"/>
      <c r="AL188" s="245"/>
      <c r="AM188" s="245"/>
      <c r="AN188" s="245"/>
      <c r="AO188" s="245"/>
      <c r="AP188" s="245"/>
      <c r="AQ188" s="245"/>
      <c r="AR188" s="245"/>
      <c r="AS188" s="245"/>
      <c r="AT188" s="245"/>
      <c r="AU188" s="245"/>
      <c r="AV188" s="245"/>
      <c r="AW188" s="245"/>
    </row>
    <row r="189" spans="1:49" s="227" customFormat="1" ht="14" x14ac:dyDescent="0.15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245"/>
      <c r="AR189" s="245"/>
      <c r="AS189" s="245"/>
      <c r="AT189" s="245"/>
      <c r="AU189" s="245"/>
      <c r="AV189" s="245"/>
      <c r="AW189" s="245"/>
    </row>
    <row r="190" spans="1:49" s="227" customFormat="1" ht="14" x14ac:dyDescent="0.15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  <c r="AG190" s="245"/>
      <c r="AH190" s="245"/>
      <c r="AI190" s="245"/>
      <c r="AJ190" s="245"/>
      <c r="AK190" s="245"/>
      <c r="AL190" s="245"/>
      <c r="AM190" s="245"/>
      <c r="AN190" s="245"/>
      <c r="AO190" s="245"/>
      <c r="AP190" s="245"/>
      <c r="AQ190" s="245"/>
      <c r="AR190" s="245"/>
      <c r="AS190" s="245"/>
      <c r="AT190" s="245"/>
      <c r="AU190" s="245"/>
      <c r="AV190" s="245"/>
      <c r="AW190" s="245"/>
    </row>
    <row r="191" spans="1:49" s="227" customFormat="1" ht="14" x14ac:dyDescent="0.15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  <c r="AG191" s="245"/>
      <c r="AH191" s="245"/>
      <c r="AI191" s="245"/>
      <c r="AJ191" s="245"/>
      <c r="AK191" s="245"/>
      <c r="AL191" s="245"/>
      <c r="AM191" s="245"/>
      <c r="AN191" s="245"/>
      <c r="AO191" s="245"/>
      <c r="AP191" s="245"/>
      <c r="AQ191" s="245"/>
      <c r="AR191" s="245"/>
      <c r="AS191" s="245"/>
      <c r="AT191" s="245"/>
      <c r="AU191" s="245"/>
      <c r="AV191" s="245"/>
      <c r="AW191" s="245"/>
    </row>
    <row r="192" spans="1:49" s="227" customFormat="1" ht="14" x14ac:dyDescent="0.15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  <c r="AU192" s="245"/>
      <c r="AV192" s="245"/>
      <c r="AW192" s="245"/>
    </row>
    <row r="193" spans="1:49" s="227" customFormat="1" ht="14" x14ac:dyDescent="0.15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</row>
    <row r="194" spans="1:49" s="227" customFormat="1" ht="14" x14ac:dyDescent="0.15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</row>
    <row r="195" spans="1:49" s="227" customFormat="1" ht="14" x14ac:dyDescent="0.15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</row>
    <row r="196" spans="1:49" s="227" customFormat="1" ht="14" x14ac:dyDescent="0.15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</row>
    <row r="197" spans="1:49" s="227" customFormat="1" ht="14" x14ac:dyDescent="0.15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</row>
    <row r="198" spans="1:49" s="227" customFormat="1" ht="14" x14ac:dyDescent="0.15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</row>
    <row r="199" spans="1:49" s="227" customFormat="1" ht="14" x14ac:dyDescent="0.15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</row>
    <row r="200" spans="1:49" s="227" customFormat="1" ht="14" x14ac:dyDescent="0.15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</row>
    <row r="201" spans="1:49" s="227" customFormat="1" ht="14" x14ac:dyDescent="0.15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</row>
    <row r="202" spans="1:49" s="227" customFormat="1" ht="14" x14ac:dyDescent="0.15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</row>
    <row r="203" spans="1:49" s="227" customFormat="1" ht="14" x14ac:dyDescent="0.15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</row>
    <row r="204" spans="1:49" s="227" customFormat="1" ht="14" x14ac:dyDescent="0.15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</row>
    <row r="205" spans="1:49" s="227" customFormat="1" ht="14" x14ac:dyDescent="0.15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</row>
    <row r="206" spans="1:49" s="227" customFormat="1" ht="14" x14ac:dyDescent="0.15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</row>
    <row r="207" spans="1:49" s="227" customFormat="1" ht="14" x14ac:dyDescent="0.15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</row>
    <row r="208" spans="1:49" s="227" customFormat="1" ht="14" x14ac:dyDescent="0.15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</row>
    <row r="209" spans="1:49" s="227" customFormat="1" ht="14" x14ac:dyDescent="0.15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</row>
    <row r="210" spans="1:49" s="227" customFormat="1" ht="14" x14ac:dyDescent="0.15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</row>
    <row r="211" spans="1:49" s="227" customFormat="1" ht="14" x14ac:dyDescent="0.15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</row>
    <row r="212" spans="1:49" s="227" customFormat="1" ht="14" x14ac:dyDescent="0.15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</row>
    <row r="213" spans="1:49" s="227" customFormat="1" ht="14" x14ac:dyDescent="0.15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</row>
    <row r="214" spans="1:49" s="227" customFormat="1" ht="14" x14ac:dyDescent="0.15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</row>
    <row r="215" spans="1:49" s="227" customFormat="1" ht="14" x14ac:dyDescent="0.15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</row>
    <row r="216" spans="1:49" s="227" customFormat="1" ht="14" x14ac:dyDescent="0.15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</row>
    <row r="217" spans="1:49" s="227" customFormat="1" ht="14" x14ac:dyDescent="0.15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</row>
    <row r="218" spans="1:49" s="227" customFormat="1" ht="14" x14ac:dyDescent="0.15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</row>
    <row r="219" spans="1:49" s="227" customFormat="1" ht="14" x14ac:dyDescent="0.15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</row>
    <row r="220" spans="1:49" s="227" customFormat="1" ht="14" x14ac:dyDescent="0.15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</row>
    <row r="221" spans="1:49" s="227" customFormat="1" ht="14" x14ac:dyDescent="0.15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</row>
    <row r="222" spans="1:49" s="227" customFormat="1" ht="14" x14ac:dyDescent="0.15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</row>
    <row r="223" spans="1:49" s="227" customFormat="1" ht="14" x14ac:dyDescent="0.15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</row>
    <row r="224" spans="1:49" s="227" customFormat="1" ht="14" x14ac:dyDescent="0.15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</row>
    <row r="225" spans="1:49" s="227" customFormat="1" ht="14" x14ac:dyDescent="0.15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</row>
    <row r="226" spans="1:49" s="227" customFormat="1" ht="14" x14ac:dyDescent="0.15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</row>
    <row r="227" spans="1:49" s="227" customFormat="1" ht="14" x14ac:dyDescent="0.15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</row>
    <row r="228" spans="1:49" s="227" customFormat="1" ht="14" x14ac:dyDescent="0.15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</row>
    <row r="229" spans="1:49" s="227" customFormat="1" ht="14" x14ac:dyDescent="0.15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</row>
    <row r="230" spans="1:49" s="227" customFormat="1" ht="14" x14ac:dyDescent="0.15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</row>
    <row r="231" spans="1:49" s="227" customFormat="1" ht="14" x14ac:dyDescent="0.15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</row>
    <row r="232" spans="1:49" s="227" customFormat="1" ht="14" x14ac:dyDescent="0.15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</row>
    <row r="233" spans="1:49" s="227" customFormat="1" ht="14" x14ac:dyDescent="0.15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</row>
    <row r="234" spans="1:49" s="227" customFormat="1" ht="14" x14ac:dyDescent="0.15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</row>
    <row r="235" spans="1:49" s="227" customFormat="1" ht="14" x14ac:dyDescent="0.15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</row>
    <row r="236" spans="1:49" s="227" customFormat="1" ht="14" x14ac:dyDescent="0.15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</row>
    <row r="237" spans="1:49" s="227" customFormat="1" ht="14" x14ac:dyDescent="0.15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</row>
    <row r="238" spans="1:49" s="227" customFormat="1" ht="14" x14ac:dyDescent="0.15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</row>
    <row r="239" spans="1:49" s="227" customFormat="1" ht="14" x14ac:dyDescent="0.15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</row>
    <row r="240" spans="1:49" s="227" customFormat="1" ht="14" x14ac:dyDescent="0.15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</row>
    <row r="241" spans="1:49" s="227" customFormat="1" ht="14" x14ac:dyDescent="0.15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</row>
    <row r="242" spans="1:49" s="227" customFormat="1" ht="14" x14ac:dyDescent="0.15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</row>
    <row r="243" spans="1:49" s="227" customFormat="1" ht="14" x14ac:dyDescent="0.15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</row>
    <row r="244" spans="1:49" s="227" customFormat="1" ht="14" x14ac:dyDescent="0.15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</row>
    <row r="245" spans="1:49" s="227" customFormat="1" ht="14" x14ac:dyDescent="0.15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</row>
    <row r="246" spans="1:49" s="227" customFormat="1" ht="14" x14ac:dyDescent="0.15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</row>
    <row r="247" spans="1:49" s="227" customFormat="1" ht="14" x14ac:dyDescent="0.15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</row>
    <row r="248" spans="1:49" s="227" customFormat="1" ht="14" x14ac:dyDescent="0.15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</row>
    <row r="249" spans="1:49" s="227" customFormat="1" x14ac:dyDescent="0.15"/>
    <row r="250" spans="1:49" s="227" customFormat="1" x14ac:dyDescent="0.15"/>
    <row r="251" spans="1:49" s="227" customFormat="1" x14ac:dyDescent="0.15"/>
    <row r="252" spans="1:49" s="227" customFormat="1" x14ac:dyDescent="0.15"/>
    <row r="253" spans="1:49" s="227" customFormat="1" x14ac:dyDescent="0.15"/>
    <row r="254" spans="1:49" s="227" customFormat="1" x14ac:dyDescent="0.15"/>
    <row r="255" spans="1:49" s="227" customFormat="1" x14ac:dyDescent="0.15"/>
    <row r="256" spans="1:49" s="227" customFormat="1" x14ac:dyDescent="0.15"/>
    <row r="257" s="227" customFormat="1" x14ac:dyDescent="0.15"/>
    <row r="258" s="227" customFormat="1" x14ac:dyDescent="0.15"/>
    <row r="259" s="227" customFormat="1" x14ac:dyDescent="0.15"/>
    <row r="260" s="227" customFormat="1" x14ac:dyDescent="0.15"/>
    <row r="261" s="227" customFormat="1" x14ac:dyDescent="0.15"/>
    <row r="262" s="227" customFormat="1" x14ac:dyDescent="0.15"/>
    <row r="263" s="227" customFormat="1" x14ac:dyDescent="0.15"/>
    <row r="264" s="227" customFormat="1" x14ac:dyDescent="0.15"/>
    <row r="265" s="227" customFormat="1" x14ac:dyDescent="0.15"/>
    <row r="266" s="227" customFormat="1" x14ac:dyDescent="0.15"/>
    <row r="267" s="227" customFormat="1" x14ac:dyDescent="0.15"/>
    <row r="268" s="227" customFormat="1" x14ac:dyDescent="0.15"/>
    <row r="269" s="227" customFormat="1" x14ac:dyDescent="0.15"/>
    <row r="270" s="227" customFormat="1" x14ac:dyDescent="0.15"/>
    <row r="271" s="227" customFormat="1" x14ac:dyDescent="0.15"/>
    <row r="272" s="227" customFormat="1" x14ac:dyDescent="0.15"/>
    <row r="273" s="227" customFormat="1" x14ac:dyDescent="0.15"/>
    <row r="274" s="227" customFormat="1" x14ac:dyDescent="0.15"/>
    <row r="275" s="227" customFormat="1" x14ac:dyDescent="0.15"/>
    <row r="276" s="227" customFormat="1" x14ac:dyDescent="0.15"/>
    <row r="277" s="227" customFormat="1" x14ac:dyDescent="0.15"/>
    <row r="278" s="227" customFormat="1" x14ac:dyDescent="0.15"/>
    <row r="279" s="227" customFormat="1" x14ac:dyDescent="0.15"/>
    <row r="280" s="227" customFormat="1" x14ac:dyDescent="0.15"/>
    <row r="281" s="227" customFormat="1" x14ac:dyDescent="0.15"/>
    <row r="282" s="227" customFormat="1" x14ac:dyDescent="0.15"/>
    <row r="283" s="227" customFormat="1" x14ac:dyDescent="0.15"/>
    <row r="284" s="227" customFormat="1" x14ac:dyDescent="0.15"/>
    <row r="285" s="227" customFormat="1" x14ac:dyDescent="0.15"/>
    <row r="286" s="227" customFormat="1" x14ac:dyDescent="0.15"/>
    <row r="287" s="227" customFormat="1" x14ac:dyDescent="0.15"/>
    <row r="288" s="227" customFormat="1" x14ac:dyDescent="0.15"/>
    <row r="289" s="227" customFormat="1" x14ac:dyDescent="0.15"/>
    <row r="290" s="227" customFormat="1" x14ac:dyDescent="0.15"/>
    <row r="291" s="227" customFormat="1" x14ac:dyDescent="0.15"/>
    <row r="292" s="227" customFormat="1" x14ac:dyDescent="0.15"/>
    <row r="293" s="227" customFormat="1" x14ac:dyDescent="0.15"/>
    <row r="294" s="227" customFormat="1" x14ac:dyDescent="0.15"/>
    <row r="295" s="227" customFormat="1" x14ac:dyDescent="0.15"/>
    <row r="296" s="227" customFormat="1" x14ac:dyDescent="0.15"/>
    <row r="297" s="227" customFormat="1" x14ac:dyDescent="0.15"/>
    <row r="298" s="227" customFormat="1" x14ac:dyDescent="0.15"/>
    <row r="299" s="227" customFormat="1" x14ac:dyDescent="0.15"/>
    <row r="300" s="227" customFormat="1" x14ac:dyDescent="0.15"/>
    <row r="301" s="227" customFormat="1" x14ac:dyDescent="0.15"/>
    <row r="302" s="227" customFormat="1" x14ac:dyDescent="0.15"/>
    <row r="303" s="227" customFormat="1" x14ac:dyDescent="0.15"/>
    <row r="304" s="227" customFormat="1" x14ac:dyDescent="0.15"/>
    <row r="305" s="227" customFormat="1" x14ac:dyDescent="0.15"/>
    <row r="306" s="227" customFormat="1" x14ac:dyDescent="0.15"/>
    <row r="307" s="227" customFormat="1" x14ac:dyDescent="0.15"/>
    <row r="308" s="227" customFormat="1" x14ac:dyDescent="0.15"/>
    <row r="309" s="227" customFormat="1" x14ac:dyDescent="0.15"/>
    <row r="310" s="227" customFormat="1" x14ac:dyDescent="0.15"/>
    <row r="311" s="227" customFormat="1" x14ac:dyDescent="0.15"/>
    <row r="312" s="227" customFormat="1" x14ac:dyDescent="0.15"/>
    <row r="313" s="227" customFormat="1" x14ac:dyDescent="0.15"/>
    <row r="314" s="227" customFormat="1" x14ac:dyDescent="0.15"/>
    <row r="315" s="227" customFormat="1" x14ac:dyDescent="0.15"/>
    <row r="316" s="227" customFormat="1" x14ac:dyDescent="0.15"/>
    <row r="317" s="227" customFormat="1" x14ac:dyDescent="0.15"/>
    <row r="318" s="227" customFormat="1" x14ac:dyDescent="0.15"/>
    <row r="319" s="227" customFormat="1" x14ac:dyDescent="0.15"/>
    <row r="320" s="227" customFormat="1" x14ac:dyDescent="0.15"/>
    <row r="321" s="227" customFormat="1" x14ac:dyDescent="0.15"/>
    <row r="322" s="227" customFormat="1" x14ac:dyDescent="0.15"/>
    <row r="323" s="227" customFormat="1" x14ac:dyDescent="0.15"/>
    <row r="324" s="227" customFormat="1" x14ac:dyDescent="0.15"/>
    <row r="325" s="227" customFormat="1" x14ac:dyDescent="0.15"/>
    <row r="326" s="227" customFormat="1" x14ac:dyDescent="0.15"/>
    <row r="327" s="227" customFormat="1" x14ac:dyDescent="0.15"/>
    <row r="328" s="227" customFormat="1" x14ac:dyDescent="0.15"/>
    <row r="329" s="227" customFormat="1" x14ac:dyDescent="0.15"/>
    <row r="330" s="227" customFormat="1" x14ac:dyDescent="0.15"/>
    <row r="331" s="227" customFormat="1" x14ac:dyDescent="0.15"/>
    <row r="332" s="227" customFormat="1" x14ac:dyDescent="0.15"/>
    <row r="333" s="227" customFormat="1" x14ac:dyDescent="0.15"/>
    <row r="334" s="227" customFormat="1" x14ac:dyDescent="0.15"/>
    <row r="335" s="227" customFormat="1" x14ac:dyDescent="0.15"/>
    <row r="336" s="227" customFormat="1" x14ac:dyDescent="0.15"/>
    <row r="337" s="227" customFormat="1" x14ac:dyDescent="0.15"/>
    <row r="338" s="227" customFormat="1" x14ac:dyDescent="0.15"/>
    <row r="339" s="227" customFormat="1" x14ac:dyDescent="0.15"/>
    <row r="340" s="227" customFormat="1" x14ac:dyDescent="0.15"/>
    <row r="341" s="227" customFormat="1" x14ac:dyDescent="0.15"/>
    <row r="342" s="227" customFormat="1" x14ac:dyDescent="0.15"/>
    <row r="343" s="227" customFormat="1" x14ac:dyDescent="0.15"/>
    <row r="344" s="227" customFormat="1" x14ac:dyDescent="0.15"/>
    <row r="345" s="227" customFormat="1" x14ac:dyDescent="0.15"/>
    <row r="346" s="227" customFormat="1" x14ac:dyDescent="0.15"/>
    <row r="347" s="227" customFormat="1" x14ac:dyDescent="0.15"/>
    <row r="348" s="227" customFormat="1" x14ac:dyDescent="0.15"/>
    <row r="349" s="227" customFormat="1" x14ac:dyDescent="0.15"/>
    <row r="350" s="227" customFormat="1" x14ac:dyDescent="0.15"/>
    <row r="351" s="227" customFormat="1" x14ac:dyDescent="0.15"/>
    <row r="352" s="227" customFormat="1" x14ac:dyDescent="0.15"/>
    <row r="353" s="227" customFormat="1" x14ac:dyDescent="0.15"/>
    <row r="354" s="227" customFormat="1" x14ac:dyDescent="0.15"/>
    <row r="355" s="227" customFormat="1" x14ac:dyDescent="0.15"/>
    <row r="356" s="227" customFormat="1" x14ac:dyDescent="0.15"/>
    <row r="357" s="227" customFormat="1" x14ac:dyDescent="0.15"/>
    <row r="358" s="227" customFormat="1" x14ac:dyDescent="0.15"/>
    <row r="359" s="227" customFormat="1" x14ac:dyDescent="0.15"/>
    <row r="360" s="227" customFormat="1" x14ac:dyDescent="0.15"/>
    <row r="361" s="227" customFormat="1" x14ac:dyDescent="0.15"/>
    <row r="362" s="227" customFormat="1" x14ac:dyDescent="0.15"/>
    <row r="363" s="227" customFormat="1" x14ac:dyDescent="0.15"/>
    <row r="364" s="227" customFormat="1" x14ac:dyDescent="0.15"/>
    <row r="365" s="227" customFormat="1" x14ac:dyDescent="0.15"/>
    <row r="366" s="227" customFormat="1" x14ac:dyDescent="0.15"/>
    <row r="367" s="227" customFormat="1" x14ac:dyDescent="0.15"/>
    <row r="368" s="227" customFormat="1" x14ac:dyDescent="0.15"/>
    <row r="369" s="227" customFormat="1" x14ac:dyDescent="0.15"/>
    <row r="370" s="227" customFormat="1" x14ac:dyDescent="0.15"/>
    <row r="371" s="227" customFormat="1" x14ac:dyDescent="0.15"/>
    <row r="372" s="227" customFormat="1" x14ac:dyDescent="0.15"/>
    <row r="373" s="227" customFormat="1" x14ac:dyDescent="0.15"/>
    <row r="374" s="227" customFormat="1" x14ac:dyDescent="0.15"/>
    <row r="375" s="227" customFormat="1" x14ac:dyDescent="0.15"/>
    <row r="376" s="227" customFormat="1" x14ac:dyDescent="0.15"/>
    <row r="377" s="227" customFormat="1" x14ac:dyDescent="0.15"/>
    <row r="378" s="227" customFormat="1" x14ac:dyDescent="0.15"/>
    <row r="379" s="227" customFormat="1" x14ac:dyDescent="0.15"/>
    <row r="380" s="227" customFormat="1" x14ac:dyDescent="0.15"/>
    <row r="381" s="227" customFormat="1" x14ac:dyDescent="0.15"/>
    <row r="382" s="227" customFormat="1" x14ac:dyDescent="0.15"/>
    <row r="383" s="227" customFormat="1" x14ac:dyDescent="0.15"/>
    <row r="384" s="227" customFormat="1" x14ac:dyDescent="0.15"/>
    <row r="385" s="227" customFormat="1" x14ac:dyDescent="0.15"/>
    <row r="386" s="227" customFormat="1" x14ac:dyDescent="0.15"/>
    <row r="387" s="227" customFormat="1" x14ac:dyDescent="0.15"/>
    <row r="388" s="227" customFormat="1" x14ac:dyDescent="0.15"/>
    <row r="389" s="227" customFormat="1" x14ac:dyDescent="0.15"/>
    <row r="390" s="227" customFormat="1" x14ac:dyDescent="0.15"/>
    <row r="391" s="227" customFormat="1" x14ac:dyDescent="0.15"/>
    <row r="392" s="227" customFormat="1" x14ac:dyDescent="0.15"/>
    <row r="393" s="227" customFormat="1" x14ac:dyDescent="0.15"/>
    <row r="394" s="227" customFormat="1" x14ac:dyDescent="0.15"/>
    <row r="395" s="227" customFormat="1" x14ac:dyDescent="0.15"/>
    <row r="396" s="227" customFormat="1" x14ac:dyDescent="0.15"/>
    <row r="397" s="227" customFormat="1" x14ac:dyDescent="0.15"/>
    <row r="398" s="227" customFormat="1" x14ac:dyDescent="0.15"/>
    <row r="399" s="227" customFormat="1" x14ac:dyDescent="0.15"/>
    <row r="400" s="227" customFormat="1" x14ac:dyDescent="0.15"/>
    <row r="401" s="227" customFormat="1" x14ac:dyDescent="0.15"/>
    <row r="402" s="227" customFormat="1" x14ac:dyDescent="0.15"/>
    <row r="403" s="227" customFormat="1" x14ac:dyDescent="0.15"/>
    <row r="404" s="227" customFormat="1" x14ac:dyDescent="0.15"/>
    <row r="405" s="227" customFormat="1" x14ac:dyDescent="0.15"/>
    <row r="406" s="227" customFormat="1" x14ac:dyDescent="0.15"/>
    <row r="407" s="227" customFormat="1" x14ac:dyDescent="0.15"/>
    <row r="408" s="227" customFormat="1" x14ac:dyDescent="0.15"/>
    <row r="409" s="227" customFormat="1" x14ac:dyDescent="0.15"/>
    <row r="410" s="227" customFormat="1" x14ac:dyDescent="0.15"/>
    <row r="411" s="227" customFormat="1" x14ac:dyDescent="0.15"/>
    <row r="412" s="227" customFormat="1" x14ac:dyDescent="0.15"/>
    <row r="413" s="227" customFormat="1" x14ac:dyDescent="0.15"/>
    <row r="414" s="227" customFormat="1" x14ac:dyDescent="0.15"/>
    <row r="415" s="227" customFormat="1" x14ac:dyDescent="0.15"/>
    <row r="416" s="227" customFormat="1" x14ac:dyDescent="0.15"/>
    <row r="417" s="227" customFormat="1" x14ac:dyDescent="0.15"/>
    <row r="418" s="227" customFormat="1" x14ac:dyDescent="0.15"/>
    <row r="419" s="227" customFormat="1" x14ac:dyDescent="0.15"/>
    <row r="420" s="227" customFormat="1" x14ac:dyDescent="0.15"/>
    <row r="421" s="227" customFormat="1" x14ac:dyDescent="0.15"/>
    <row r="422" s="227" customFormat="1" x14ac:dyDescent="0.15"/>
    <row r="423" s="227" customFormat="1" x14ac:dyDescent="0.15"/>
    <row r="424" s="227" customFormat="1" x14ac:dyDescent="0.15"/>
    <row r="425" s="227" customFormat="1" x14ac:dyDescent="0.15"/>
    <row r="426" s="227" customFormat="1" x14ac:dyDescent="0.15"/>
    <row r="427" s="227" customFormat="1" x14ac:dyDescent="0.15"/>
    <row r="428" s="227" customFormat="1" x14ac:dyDescent="0.15"/>
    <row r="429" s="227" customFormat="1" x14ac:dyDescent="0.15"/>
    <row r="430" s="227" customFormat="1" x14ac:dyDescent="0.15"/>
    <row r="431" s="227" customFormat="1" x14ac:dyDescent="0.15"/>
    <row r="432" s="227" customFormat="1" x14ac:dyDescent="0.15"/>
    <row r="433" s="227" customFormat="1" x14ac:dyDescent="0.15"/>
    <row r="434" s="227" customFormat="1" x14ac:dyDescent="0.15"/>
    <row r="435" s="227" customFormat="1" x14ac:dyDescent="0.15"/>
    <row r="436" s="227" customFormat="1" x14ac:dyDescent="0.15"/>
    <row r="437" s="227" customFormat="1" x14ac:dyDescent="0.15"/>
    <row r="438" s="227" customFormat="1" x14ac:dyDescent="0.15"/>
    <row r="439" s="227" customFormat="1" x14ac:dyDescent="0.15"/>
    <row r="440" s="227" customFormat="1" x14ac:dyDescent="0.15"/>
    <row r="441" s="227" customFormat="1" x14ac:dyDescent="0.15"/>
    <row r="442" s="227" customFormat="1" x14ac:dyDescent="0.15"/>
    <row r="443" s="227" customFormat="1" x14ac:dyDescent="0.15"/>
    <row r="444" s="227" customFormat="1" x14ac:dyDescent="0.15"/>
  </sheetData>
  <sheetProtection algorithmName="SHA-512" hashValue="aE615KlK2q+Y+L98A7ZWEzz6sNIdS+u9YUgc/Q6IFhVg5AbbwUsnxauYp8wRBJMic+LEF7Wjve3C4YMymYpWtw==" saltValue="tQjery57FBpKopQFu00ujQ==" spinCount="100000" sheet="1" objects="1" scenarios="1"/>
  <conditionalFormatting sqref="A8:T20 A29:T40 A49:T61">
    <cfRule type="expression" dxfId="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2" max="16383" man="1" pt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B2F52-EF53-FA49-97B8-4C681018C963}">
  <sheetPr codeName="Sheet9">
    <tabColor rgb="FFFFFF00"/>
  </sheetPr>
  <dimension ref="A1:AW254"/>
  <sheetViews>
    <sheetView zoomScale="86" zoomScaleNormal="125" zoomScalePageLayoutView="125" workbookViewId="0">
      <selection activeCell="C5" activeCellId="3" sqref="W37 C48:C50 C26:C28 C5"/>
    </sheetView>
  </sheetViews>
  <sheetFormatPr baseColWidth="10" defaultRowHeight="13" x14ac:dyDescent="0.15"/>
  <cols>
    <col min="1" max="2" width="20.33203125" style="212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12" customWidth="1"/>
    <col min="50" max="16384" width="10.83203125" style="212"/>
  </cols>
  <sheetData>
    <row r="1" spans="1:49" ht="14" x14ac:dyDescent="0.15">
      <c r="A1" s="252" t="s">
        <v>581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</row>
    <row r="2" spans="1:49" ht="14" x14ac:dyDescent="0.15">
      <c r="A2" s="253" t="s">
        <v>236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</row>
    <row r="3" spans="1:49" ht="15" thickBot="1" x14ac:dyDescent="0.2">
      <c r="A3" s="252"/>
      <c r="B3" s="252"/>
      <c r="C3" s="252"/>
      <c r="D3" s="252"/>
      <c r="E3" s="252"/>
      <c r="F3" s="252"/>
      <c r="G3" s="254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</row>
    <row r="4" spans="1:49" ht="14" x14ac:dyDescent="0.15">
      <c r="A4" s="165" t="s">
        <v>156</v>
      </c>
      <c r="B4" s="166"/>
      <c r="C4" s="166"/>
      <c r="D4" s="166"/>
      <c r="E4" s="166"/>
      <c r="F4" s="166"/>
      <c r="G4" s="134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8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</row>
    <row r="5" spans="1:49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7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</row>
    <row r="6" spans="1:49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7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</row>
    <row r="7" spans="1:49" ht="75" x14ac:dyDescent="0.15">
      <c r="A7" s="230" t="s">
        <v>216</v>
      </c>
      <c r="B7" s="231" t="s">
        <v>198</v>
      </c>
      <c r="C7" s="173" t="s">
        <v>199</v>
      </c>
      <c r="D7" s="173" t="s">
        <v>200</v>
      </c>
      <c r="E7" s="173" t="s">
        <v>201</v>
      </c>
      <c r="F7" s="230" t="s">
        <v>202</v>
      </c>
      <c r="G7" s="173" t="s">
        <v>163</v>
      </c>
      <c r="H7" s="232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</row>
    <row r="8" spans="1:49" ht="14" x14ac:dyDescent="0.15">
      <c r="A8" s="234" t="str">
        <f>'SA Apr 2016'!K2</f>
        <v>AGL</v>
      </c>
      <c r="B8" s="180" t="str">
        <f>'SA Apr 2016'!L2</f>
        <v xml:space="preserve">Business Savers </v>
      </c>
      <c r="C8" s="181">
        <f>91*'SA Apr 2016'!M2/100</f>
        <v>61.943699999999993</v>
      </c>
      <c r="D8" s="181">
        <f>IF($C$5&gt;='SA Apr 2016'!P2,('SA Apr 2016'!P2*'SA Apr 2016'!N2/100),('SA Bills April 2016'!$C$5*'SA Apr 2016'!N2/100))</f>
        <v>783.4375</v>
      </c>
      <c r="E8" s="181">
        <v>0</v>
      </c>
      <c r="F8" s="182">
        <v>0</v>
      </c>
      <c r="G8" s="183">
        <v>0</v>
      </c>
      <c r="H8" s="184">
        <f>IF(($C$5&lt;'SA Apr 2016'!P2),(0),('SA Bills April 2016'!$C$5-'SA Apr 2016'!P2)*'SA Apr 2016'!Q2/100)</f>
        <v>815</v>
      </c>
      <c r="I8" s="185">
        <f>SUM(C8:H8)</f>
        <v>1660.3812</v>
      </c>
      <c r="J8" s="186">
        <f>I8*4</f>
        <v>6641.5248000000001</v>
      </c>
      <c r="K8" s="187">
        <v>0</v>
      </c>
      <c r="L8" s="187">
        <f>'SA Apr 2016'!AZ2</f>
        <v>15</v>
      </c>
      <c r="M8" s="187">
        <f>'SA Apr 2016'!BA2</f>
        <v>0</v>
      </c>
      <c r="N8" s="187">
        <f>'SA Apr 2016'!BB2</f>
        <v>0</v>
      </c>
      <c r="O8" s="186">
        <f>J8-((I8-C8)*L8/100)*4</f>
        <v>5682.4623000000001</v>
      </c>
      <c r="P8" s="186">
        <f>O8</f>
        <v>5682.4623000000001</v>
      </c>
      <c r="Q8" s="186">
        <f>O8*1.1</f>
        <v>6250.7085300000008</v>
      </c>
      <c r="R8" s="186">
        <f>P8*1.1</f>
        <v>6250.7085300000008</v>
      </c>
      <c r="S8" s="188">
        <f>'SA Apr 2016'!BI2</f>
        <v>0</v>
      </c>
      <c r="T8" s="189" t="str">
        <f>'SA Apr 2016'!BJ2</f>
        <v>n</v>
      </c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</row>
    <row r="9" spans="1:49" s="256" customFormat="1" ht="14" x14ac:dyDescent="0.15">
      <c r="A9" s="234" t="str">
        <f>'SA Apr 2016'!K3</f>
        <v>Alinta Energy</v>
      </c>
      <c r="B9" s="180" t="str">
        <f>'SA Apr 2016'!L3</f>
        <v>Fair Go Business</v>
      </c>
      <c r="C9" s="181">
        <f>91*'SA Apr 2016'!M3/100</f>
        <v>61.88</v>
      </c>
      <c r="D9" s="181">
        <f>IF($C$5&gt;='SA Apr 2016'!P3,('SA Apr 2016'!P3*'SA Apr 2016'!N3/100),('SA Bills April 2016'!$C$5*'SA Apr 2016'!N3/100))</f>
        <v>767.25</v>
      </c>
      <c r="E9" s="181">
        <v>0</v>
      </c>
      <c r="F9" s="182">
        <v>0</v>
      </c>
      <c r="G9" s="183">
        <v>0</v>
      </c>
      <c r="H9" s="184">
        <f>IF(($C$5&lt;'SA Apr 2016'!P3),(0),('SA Bills April 2016'!$C$5-'SA Apr 2016'!P3)*'SA Apr 2016'!Q3/100)</f>
        <v>777</v>
      </c>
      <c r="I9" s="185">
        <f t="shared" ref="I9:I22" si="0">SUM(C9:H9)</f>
        <v>1606.13</v>
      </c>
      <c r="J9" s="186">
        <f t="shared" ref="J9:J22" si="1">I9*4</f>
        <v>6424.52</v>
      </c>
      <c r="K9" s="187">
        <v>0</v>
      </c>
      <c r="L9" s="187">
        <f>'SA Apr 2016'!AZ3</f>
        <v>0</v>
      </c>
      <c r="M9" s="187">
        <f>'SA Apr 2016'!BA3</f>
        <v>0</v>
      </c>
      <c r="N9" s="187">
        <f>'SA Apr 2016'!BB3</f>
        <v>25</v>
      </c>
      <c r="O9" s="186">
        <f>J9</f>
        <v>6424.52</v>
      </c>
      <c r="P9" s="186">
        <f>O9-((I9-C9)*N9/100)*4</f>
        <v>4880.2700000000004</v>
      </c>
      <c r="Q9" s="186">
        <f t="shared" ref="Q9:R22" si="2">O9*1.1</f>
        <v>7066.9720000000007</v>
      </c>
      <c r="R9" s="186">
        <f t="shared" si="2"/>
        <v>5368.2970000000005</v>
      </c>
      <c r="S9" s="188">
        <f>'SA Apr 2016'!BI3</f>
        <v>0</v>
      </c>
      <c r="T9" s="189" t="str">
        <f>'SA Apr 2016'!BJ3</f>
        <v>n</v>
      </c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</row>
    <row r="10" spans="1:49" ht="14" x14ac:dyDescent="0.15">
      <c r="A10" s="234" t="str">
        <f>'SA Apr 2016'!K4</f>
        <v>Click Energy</v>
      </c>
      <c r="B10" s="180" t="str">
        <f>'SA Apr 2016'!L4</f>
        <v>Click Business</v>
      </c>
      <c r="C10" s="181">
        <f>91*'SA Apr 2016'!M4/100</f>
        <v>80.08</v>
      </c>
      <c r="D10" s="181">
        <f>IF($C$5&gt;='SA Apr 2016'!P4,('SA Apr 2016'!P4*'SA Apr 2016'!N4/100),('SA Bills April 2016'!$C$5*'SA Apr 2016'!N4/100))</f>
        <v>775</v>
      </c>
      <c r="E10" s="181">
        <v>0</v>
      </c>
      <c r="F10" s="182">
        <v>0</v>
      </c>
      <c r="G10" s="183">
        <v>0</v>
      </c>
      <c r="H10" s="184">
        <f>IF(($C$5&lt;'SA Apr 2016'!P4),(0),('SA Bills April 2016'!$C$5-'SA Apr 2016'!P4)*'SA Apr 2016'!Q4/100)</f>
        <v>822.5</v>
      </c>
      <c r="I10" s="185">
        <f t="shared" si="0"/>
        <v>1677.58</v>
      </c>
      <c r="J10" s="186">
        <f t="shared" si="1"/>
        <v>6710.32</v>
      </c>
      <c r="K10" s="187">
        <v>0</v>
      </c>
      <c r="L10" s="187">
        <f>'SA Apr 2016'!AZ4</f>
        <v>0</v>
      </c>
      <c r="M10" s="187">
        <f>'SA Apr 2016'!BA4</f>
        <v>7</v>
      </c>
      <c r="N10" s="187">
        <f>'SA Apr 2016'!BB4</f>
        <v>0</v>
      </c>
      <c r="O10" s="186">
        <f>J10</f>
        <v>6710.32</v>
      </c>
      <c r="P10" s="186">
        <f>O10-(O10*M10/100)</f>
        <v>6240.5976000000001</v>
      </c>
      <c r="Q10" s="186">
        <f t="shared" si="2"/>
        <v>7381.3519999999999</v>
      </c>
      <c r="R10" s="186">
        <f t="shared" si="2"/>
        <v>6864.6573600000011</v>
      </c>
      <c r="S10" s="188">
        <f>'SA Apr 2016'!BI4</f>
        <v>0</v>
      </c>
      <c r="T10" s="189" t="str">
        <f>'SA Apr 2016'!BJ4</f>
        <v>n</v>
      </c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</row>
    <row r="11" spans="1:49" s="256" customFormat="1" ht="14" x14ac:dyDescent="0.15">
      <c r="A11" s="234" t="str">
        <f>'SA Apr 2016'!K5</f>
        <v>Commander</v>
      </c>
      <c r="B11" s="180" t="str">
        <f>'SA Apr 2016'!L5</f>
        <v>Market offer</v>
      </c>
      <c r="C11" s="181">
        <f>91*'SA Apr 2016'!M5/100</f>
        <v>63.927500000000002</v>
      </c>
      <c r="D11" s="181">
        <f>IF($C$5&gt;='SA Apr 2016'!P5,('SA Apr 2016'!P5*'SA Apr 2016'!N5/100),('SA Bills April 2016'!$C$5*'SA Apr 2016'!N5/100))</f>
        <v>765</v>
      </c>
      <c r="E11" s="181">
        <v>0</v>
      </c>
      <c r="F11" s="182">
        <v>0</v>
      </c>
      <c r="G11" s="183">
        <v>0</v>
      </c>
      <c r="H11" s="184">
        <f>IF(($C$5&lt;'SA Apr 2016'!P5),(0),('SA Bills April 2016'!$C$5-'SA Apr 2016'!P5)*'SA Apr 2016'!Q5/100)</f>
        <v>802.5</v>
      </c>
      <c r="I11" s="185">
        <f t="shared" si="0"/>
        <v>1631.4275</v>
      </c>
      <c r="J11" s="186">
        <f t="shared" si="1"/>
        <v>6525.71</v>
      </c>
      <c r="K11" s="187">
        <v>0</v>
      </c>
      <c r="L11" s="187">
        <f>'SA Apr 2016'!AZ5</f>
        <v>0</v>
      </c>
      <c r="M11" s="187">
        <f>'SA Apr 2016'!BA5</f>
        <v>0</v>
      </c>
      <c r="N11" s="187">
        <f>'SA Apr 2016'!BB5</f>
        <v>20</v>
      </c>
      <c r="O11" s="186">
        <f>J11</f>
        <v>6525.71</v>
      </c>
      <c r="P11" s="186">
        <f>O11-((I11-C11)*N11/100)*4</f>
        <v>5271.71</v>
      </c>
      <c r="Q11" s="186">
        <f t="shared" si="2"/>
        <v>7178.2810000000009</v>
      </c>
      <c r="R11" s="186">
        <f t="shared" si="2"/>
        <v>5798.8810000000003</v>
      </c>
      <c r="S11" s="188">
        <f>'SA Apr 2016'!BI5</f>
        <v>0</v>
      </c>
      <c r="T11" s="189" t="str">
        <f>'SA Apr 2016'!BJ5</f>
        <v>n</v>
      </c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</row>
    <row r="12" spans="1:49" ht="14" x14ac:dyDescent="0.15">
      <c r="A12" s="234" t="str">
        <f>'SA Apr 2016'!K6</f>
        <v>Diamond Energy</v>
      </c>
      <c r="B12" s="180" t="str">
        <f>'SA Apr 2016'!L6</f>
        <v>Pay on time discount</v>
      </c>
      <c r="C12" s="181">
        <f>91*'SA Apr 2016'!M6/100</f>
        <v>68.067999999999998</v>
      </c>
      <c r="D12" s="181">
        <f>IF($C$5&gt;='SA Apr 2016'!P6,('SA Apr 2016'!P6*'SA Apr 2016'!N6/100),('SA Bills April 2016'!$C$5*'SA Apr 2016'!N6/100))</f>
        <v>673.75</v>
      </c>
      <c r="E12" s="181">
        <f>IF($C5&lt;'SA Apr 2016'!P6,0,IF(($C5-'SA Apr 2016'!P6)&lt;'SA Apr 2016'!R6,(($C5-'SA Apr 2016'!P6)*'SA Apr 2016'!Q6/100),(('SA Apr 2016'!R6-'SA Apr 2016'!P6)*'SA Apr 2016'!Q6/100)))</f>
        <v>728.75</v>
      </c>
      <c r="F12" s="182">
        <v>0</v>
      </c>
      <c r="G12" s="183">
        <v>0</v>
      </c>
      <c r="H12" s="184">
        <f>IF(($C$5&lt;'SA Apr 2016'!R6),(0),('SA Bills April 2016'!$C$5-'SA Apr 2016'!R6)*'SA Apr 2016'!S6/100)</f>
        <v>0</v>
      </c>
      <c r="I12" s="185">
        <f t="shared" si="0"/>
        <v>1470.568</v>
      </c>
      <c r="J12" s="186">
        <f t="shared" si="1"/>
        <v>5882.2719999999999</v>
      </c>
      <c r="K12" s="187">
        <v>0</v>
      </c>
      <c r="L12" s="187">
        <f>'SA Apr 2016'!AZ6</f>
        <v>0</v>
      </c>
      <c r="M12" s="187">
        <f>'SA Apr 2016'!BA6</f>
        <v>3</v>
      </c>
      <c r="N12" s="187">
        <f>'SA Apr 2016'!BB6</f>
        <v>0</v>
      </c>
      <c r="O12" s="186">
        <f>J12</f>
        <v>5882.2719999999999</v>
      </c>
      <c r="P12" s="186">
        <f>O12-(O12*M12/100)</f>
        <v>5705.8038399999996</v>
      </c>
      <c r="Q12" s="186">
        <f t="shared" si="2"/>
        <v>6470.4992000000002</v>
      </c>
      <c r="R12" s="186">
        <f t="shared" si="2"/>
        <v>6276.3842240000004</v>
      </c>
      <c r="S12" s="188">
        <f>'SA Apr 2016'!BI6</f>
        <v>24</v>
      </c>
      <c r="T12" s="189" t="str">
        <f>'SA Apr 2016'!BJ6</f>
        <v>y</v>
      </c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/>
    </row>
    <row r="13" spans="1:49" s="256" customFormat="1" ht="14" x14ac:dyDescent="0.15">
      <c r="A13" s="234" t="str">
        <f>'SA Apr 2016'!K7</f>
        <v>EnergyAustralia</v>
      </c>
      <c r="B13" s="180" t="str">
        <f>'SA Apr 2016'!L7</f>
        <v>Everyday Saver Business</v>
      </c>
      <c r="C13" s="181">
        <f>91*'SA Apr 2016'!M7/100</f>
        <v>68.795999999999992</v>
      </c>
      <c r="D13" s="181">
        <f>IF($C$5&gt;='SA Apr 2016'!P7,('SA Apr 2016'!P7*'SA Apr 2016'!N7/100),('SA Bills April 2016'!$C$5*'SA Apr 2016'!N7/100))</f>
        <v>805</v>
      </c>
      <c r="E13" s="181">
        <f>IF($C5&lt;'SA Apr 2016'!P7,0,IF(($C5-'SA Apr 2016'!P7)&lt;'SA Apr 2016'!R7,(($C5-'SA Apr 2016'!P7)*'SA Apr 2016'!Q7/100),(('SA Apr 2016'!R7-'SA Apr 2016'!P7)*'SA Apr 2016'!Q7/100)))</f>
        <v>866.25</v>
      </c>
      <c r="F13" s="182">
        <v>0</v>
      </c>
      <c r="G13" s="183">
        <v>0</v>
      </c>
      <c r="H13" s="184">
        <f>IF(($C$5&lt;'SA Apr 2016'!R7),(0),('SA Bills April 2016'!$C$5-'SA Apr 2016'!R7)*'SA Apr 2016'!S7/100)</f>
        <v>0</v>
      </c>
      <c r="I13" s="185">
        <f t="shared" si="0"/>
        <v>1740.046</v>
      </c>
      <c r="J13" s="186">
        <f t="shared" si="1"/>
        <v>6960.1840000000002</v>
      </c>
      <c r="K13" s="187">
        <v>0</v>
      </c>
      <c r="L13" s="187">
        <f>'SA Apr 2016'!AZ7</f>
        <v>21</v>
      </c>
      <c r="M13" s="187">
        <f>'SA Apr 2016'!BA7</f>
        <v>0</v>
      </c>
      <c r="N13" s="187">
        <f>'SA Apr 2016'!BB7</f>
        <v>0</v>
      </c>
      <c r="O13" s="186">
        <f>J13-((I13-C13)*L13/100)*4</f>
        <v>5556.3340000000007</v>
      </c>
      <c r="P13" s="186">
        <f>O13</f>
        <v>5556.3340000000007</v>
      </c>
      <c r="Q13" s="186">
        <f t="shared" si="2"/>
        <v>6111.9674000000014</v>
      </c>
      <c r="R13" s="186">
        <f t="shared" si="2"/>
        <v>6111.9674000000014</v>
      </c>
      <c r="S13" s="188">
        <f>'SA Apr 2016'!BI7</f>
        <v>24</v>
      </c>
      <c r="T13" s="189" t="str">
        <f>'SA Apr 2016'!BJ7</f>
        <v>y</v>
      </c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/>
    </row>
    <row r="14" spans="1:49" ht="14" x14ac:dyDescent="0.15">
      <c r="A14" s="234" t="str">
        <f>'SA Apr 2016'!K8</f>
        <v>ERM Power</v>
      </c>
      <c r="B14" s="180" t="str">
        <f>'SA Apr 2016'!L8</f>
        <v>Adjustable</v>
      </c>
      <c r="C14" s="181">
        <f>91*'SA Apr 2016'!M8/100</f>
        <v>90.09</v>
      </c>
      <c r="D14" s="181">
        <f>C5*'SA Apr 2016'!N8/100</f>
        <v>1518.5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1608.59</v>
      </c>
      <c r="J14" s="186">
        <f t="shared" si="1"/>
        <v>6434.36</v>
      </c>
      <c r="K14" s="187">
        <v>0</v>
      </c>
      <c r="L14" s="187">
        <f>'SA Apr 2016'!AZ8</f>
        <v>0</v>
      </c>
      <c r="M14" s="187">
        <f>'SA Apr 2016'!BA8</f>
        <v>0</v>
      </c>
      <c r="N14" s="187">
        <f>'SA Apr 2016'!BB8</f>
        <v>0</v>
      </c>
      <c r="O14" s="186">
        <f>J14</f>
        <v>6434.36</v>
      </c>
      <c r="P14" s="186">
        <f>O14</f>
        <v>6434.36</v>
      </c>
      <c r="Q14" s="186">
        <f t="shared" si="2"/>
        <v>7077.7960000000003</v>
      </c>
      <c r="R14" s="186">
        <f t="shared" si="2"/>
        <v>7077.7960000000003</v>
      </c>
      <c r="S14" s="188">
        <f>'SA Apr 2016'!BI8</f>
        <v>0</v>
      </c>
      <c r="T14" s="189" t="str">
        <f>'SA Apr 2016'!BJ8</f>
        <v>n</v>
      </c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/>
    </row>
    <row r="15" spans="1:49" s="256" customFormat="1" ht="14" x14ac:dyDescent="0.15">
      <c r="A15" s="234" t="str">
        <f>'SA Apr 2016'!K9</f>
        <v>Lumo Energy</v>
      </c>
      <c r="B15" s="180" t="str">
        <f>'SA Apr 2016'!L9</f>
        <v>Business Premium</v>
      </c>
      <c r="C15" s="181">
        <f>91*'SA Apr 2016'!M9/100</f>
        <v>69.1327</v>
      </c>
      <c r="D15" s="181">
        <f>IF($C$5&gt;='SA Apr 2016'!P9,('SA Apr 2016'!P9*'SA Apr 2016'!N9/100),('SA Bills April 2016'!$C$5*'SA Apr 2016'!N9/100))</f>
        <v>601.25</v>
      </c>
      <c r="E15" s="181">
        <v>0</v>
      </c>
      <c r="F15" s="182">
        <v>0</v>
      </c>
      <c r="G15" s="183">
        <v>0</v>
      </c>
      <c r="H15" s="184">
        <f>IF(($C$5&lt;'SA Apr 2016'!P9),(0),('SA Bills April 2016'!$C$5-'SA Apr 2016'!P9)*'SA Apr 2016'!Q9/100)</f>
        <v>609.25</v>
      </c>
      <c r="I15" s="185">
        <f t="shared" si="0"/>
        <v>1279.6327000000001</v>
      </c>
      <c r="J15" s="186">
        <f t="shared" si="1"/>
        <v>5118.5308000000005</v>
      </c>
      <c r="K15" s="187">
        <v>0</v>
      </c>
      <c r="L15" s="187">
        <f>'SA Apr 2016'!AZ9</f>
        <v>0</v>
      </c>
      <c r="M15" s="187">
        <f>'SA Apr 2016'!BA9</f>
        <v>0</v>
      </c>
      <c r="N15" s="187">
        <f>'SA Apr 2016'!BB9</f>
        <v>0</v>
      </c>
      <c r="O15" s="186">
        <f t="shared" ref="O15:O16" si="3">J15</f>
        <v>5118.5308000000005</v>
      </c>
      <c r="P15" s="186">
        <f t="shared" ref="P15:P19" si="4">O15</f>
        <v>5118.5308000000005</v>
      </c>
      <c r="Q15" s="186">
        <f t="shared" si="2"/>
        <v>5630.3838800000012</v>
      </c>
      <c r="R15" s="186">
        <f t="shared" si="2"/>
        <v>5630.3838800000012</v>
      </c>
      <c r="S15" s="188">
        <f>'SA Apr 2016'!BI9</f>
        <v>36</v>
      </c>
      <c r="T15" s="189" t="str">
        <f>'SA Apr 2016'!BJ9</f>
        <v>n</v>
      </c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  <c r="AW15" s="255"/>
    </row>
    <row r="16" spans="1:49" ht="14" x14ac:dyDescent="0.15">
      <c r="A16" s="234" t="str">
        <f>'SA Apr 2016'!K10</f>
        <v>Momentum Energy</v>
      </c>
      <c r="B16" s="180" t="str">
        <f>'SA Apr 2016'!L10</f>
        <v>SmilePower</v>
      </c>
      <c r="C16" s="181">
        <f>91*'SA Apr 2016'!M10/100</f>
        <v>75.165999999999997</v>
      </c>
      <c r="D16" s="181">
        <f>IF($C$5&gt;='SA Apr 2016'!P10,('SA Apr 2016'!P10*'SA Apr 2016'!N10/100),('SA Bills April 2016'!$C$5*'SA Apr 2016'!N10/100))</f>
        <v>380.28</v>
      </c>
      <c r="E16" s="181">
        <v>0</v>
      </c>
      <c r="F16" s="182">
        <v>0</v>
      </c>
      <c r="G16" s="183">
        <v>0</v>
      </c>
      <c r="H16" s="184">
        <f>IF(($C$5&lt;'SA Apr 2016'!P10),(0),('SA Bills April 2016'!$C$5-'SA Apr 2016'!P10)*'SA Apr 2016'!Q10/100)</f>
        <v>1117.96</v>
      </c>
      <c r="I16" s="185">
        <f t="shared" si="0"/>
        <v>1573.4059999999999</v>
      </c>
      <c r="J16" s="186">
        <f t="shared" si="1"/>
        <v>6293.6239999999998</v>
      </c>
      <c r="K16" s="187">
        <v>0</v>
      </c>
      <c r="L16" s="187">
        <f>'SA Apr 2016'!AZ10</f>
        <v>0</v>
      </c>
      <c r="M16" s="187">
        <f>'SA Apr 2016'!BA10</f>
        <v>0</v>
      </c>
      <c r="N16" s="187">
        <f>'SA Apr 2016'!BB10</f>
        <v>0</v>
      </c>
      <c r="O16" s="186">
        <f t="shared" si="3"/>
        <v>6293.6239999999998</v>
      </c>
      <c r="P16" s="186">
        <f t="shared" si="4"/>
        <v>6293.6239999999998</v>
      </c>
      <c r="Q16" s="186">
        <f t="shared" si="2"/>
        <v>6922.9864000000007</v>
      </c>
      <c r="R16" s="186">
        <f t="shared" si="2"/>
        <v>6922.9864000000007</v>
      </c>
      <c r="S16" s="188">
        <f>'SA Apr 2016'!BI10</f>
        <v>12</v>
      </c>
      <c r="T16" s="189" t="str">
        <f>'SA Apr 2016'!BJ10</f>
        <v>y</v>
      </c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</row>
    <row r="17" spans="1:49" s="256" customFormat="1" ht="14" x14ac:dyDescent="0.15">
      <c r="A17" s="234" t="str">
        <f>'SA Apr 2016'!K11</f>
        <v>Origin Energy</v>
      </c>
      <c r="B17" s="180" t="str">
        <f>'SA Apr 2016'!L11</f>
        <v>Business Saver</v>
      </c>
      <c r="C17" s="181">
        <f>91*'SA Apr 2016'!M11/100</f>
        <v>64.100399999999993</v>
      </c>
      <c r="D17" s="181">
        <f>IF($C$5&gt;='SA Apr 2016'!P11,('SA Apr 2016'!P11*'SA Apr 2016'!N11/100),('SA Bills April 2016'!$C$5*'SA Apr 2016'!N11/100))</f>
        <v>767.25</v>
      </c>
      <c r="E17" s="181">
        <v>0</v>
      </c>
      <c r="F17" s="182">
        <v>0</v>
      </c>
      <c r="G17" s="183">
        <v>0</v>
      </c>
      <c r="H17" s="184">
        <f>IF(($C$5&lt;'SA Apr 2016'!P11),(0),('SA Bills April 2016'!$C$5-'SA Apr 2016'!P11)*'SA Apr 2016'!Q11/100)</f>
        <v>797.75</v>
      </c>
      <c r="I17" s="185">
        <f t="shared" si="0"/>
        <v>1629.1004</v>
      </c>
      <c r="J17" s="186">
        <f t="shared" si="1"/>
        <v>6516.4016000000001</v>
      </c>
      <c r="K17" s="187">
        <v>0</v>
      </c>
      <c r="L17" s="187">
        <f>'SA Apr 2016'!AZ11</f>
        <v>20</v>
      </c>
      <c r="M17" s="187">
        <f>'SA Apr 2016'!BA11</f>
        <v>0</v>
      </c>
      <c r="N17" s="187">
        <f>'SA Apr 2016'!BB11</f>
        <v>0</v>
      </c>
      <c r="O17" s="186">
        <f>J17-((I17-C17)*L17/100)*4</f>
        <v>5264.4016000000001</v>
      </c>
      <c r="P17" s="186">
        <f>O17</f>
        <v>5264.4016000000001</v>
      </c>
      <c r="Q17" s="186">
        <f t="shared" si="2"/>
        <v>5790.8417600000002</v>
      </c>
      <c r="R17" s="186">
        <f t="shared" si="2"/>
        <v>5790.8417600000002</v>
      </c>
      <c r="S17" s="188">
        <f>'SA Apr 2016'!BI11</f>
        <v>12</v>
      </c>
      <c r="T17" s="189" t="str">
        <f>'SA Apr 2016'!BJ11</f>
        <v>y</v>
      </c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</row>
    <row r="18" spans="1:49" ht="14" x14ac:dyDescent="0.15">
      <c r="A18" s="234" t="str">
        <f>'SA Apr 2016'!K12</f>
        <v>Pacific Hydro</v>
      </c>
      <c r="B18" s="180" t="str">
        <f>'SA Apr 2016'!L12</f>
        <v xml:space="preserve">Business Smart </v>
      </c>
      <c r="C18" s="181">
        <f>91*'SA Apr 2016'!M12/100</f>
        <v>60.332999999999998</v>
      </c>
      <c r="D18" s="181">
        <f>IF($C$5&gt;='SA Apr 2016'!P12,('SA Apr 2016'!P12*'SA Apr 2016'!N12/100),('SA Bills April 2016'!$C$5*'SA Apr 2016'!N12/100))</f>
        <v>690</v>
      </c>
      <c r="E18" s="181">
        <v>0</v>
      </c>
      <c r="F18" s="182">
        <v>0</v>
      </c>
      <c r="G18" s="183">
        <v>0</v>
      </c>
      <c r="H18" s="184">
        <f>IF(($C$5&lt;'SA Apr 2016'!P12),(0),('SA Bills April 2016'!$C$5-'SA Apr 2016'!P12)*'SA Apr 2016'!Q12/100)</f>
        <v>707.5</v>
      </c>
      <c r="I18" s="185">
        <f t="shared" si="0"/>
        <v>1457.8330000000001</v>
      </c>
      <c r="J18" s="186">
        <f t="shared" si="1"/>
        <v>5831.3320000000003</v>
      </c>
      <c r="K18" s="187">
        <v>0</v>
      </c>
      <c r="L18" s="187">
        <f>'SA Apr 2016'!AZ12</f>
        <v>0</v>
      </c>
      <c r="M18" s="187">
        <f>'SA Apr 2016'!BA12</f>
        <v>0</v>
      </c>
      <c r="N18" s="187">
        <f>'SA Apr 2016'!BB12</f>
        <v>0</v>
      </c>
      <c r="O18" s="186">
        <f t="shared" ref="O18:O19" si="5">J18</f>
        <v>5831.3320000000003</v>
      </c>
      <c r="P18" s="186">
        <f t="shared" si="4"/>
        <v>5831.3320000000003</v>
      </c>
      <c r="Q18" s="186">
        <f t="shared" si="2"/>
        <v>6414.4652000000006</v>
      </c>
      <c r="R18" s="186">
        <f t="shared" si="2"/>
        <v>6414.4652000000006</v>
      </c>
      <c r="S18" s="188">
        <f>'SA Apr 2016'!BI12</f>
        <v>0</v>
      </c>
      <c r="T18" s="189" t="str">
        <f>'SA Apr 2016'!BJ12</f>
        <v>n</v>
      </c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</row>
    <row r="19" spans="1:49" s="256" customFormat="1" ht="14" x14ac:dyDescent="0.15">
      <c r="A19" s="234" t="str">
        <f>'SA Apr 2016'!K13</f>
        <v>Powerdirect</v>
      </c>
      <c r="B19" s="180" t="str">
        <f>'SA Apr 2016'!L13</f>
        <v>Quarterly read</v>
      </c>
      <c r="C19" s="181">
        <f>91*'SA Apr 2016'!M13/100</f>
        <v>66.36630000000001</v>
      </c>
      <c r="D19" s="181">
        <f>IF($C$5&gt;='SA Apr 2016'!P13,('SA Apr 2016'!P13*'SA Apr 2016'!N13/100),('SA Bills April 2016'!$C$5*'SA Apr 2016'!N13/100))</f>
        <v>717.5</v>
      </c>
      <c r="E19" s="181">
        <v>0</v>
      </c>
      <c r="F19" s="182">
        <v>0</v>
      </c>
      <c r="G19" s="183">
        <v>0</v>
      </c>
      <c r="H19" s="184">
        <f>IF(($C$5&lt;'SA Apr 2016'!P13),(0),('SA Bills April 2016'!$C$5-'SA Apr 2016'!P13)*'SA Apr 2016'!Q13/100)</f>
        <v>744.5</v>
      </c>
      <c r="I19" s="185">
        <f t="shared" si="0"/>
        <v>1528.3663000000001</v>
      </c>
      <c r="J19" s="186">
        <f t="shared" si="1"/>
        <v>6113.4652000000006</v>
      </c>
      <c r="K19" s="187">
        <v>0</v>
      </c>
      <c r="L19" s="187">
        <f>'SA Apr 2016'!AZ13</f>
        <v>0</v>
      </c>
      <c r="M19" s="187">
        <f>'SA Apr 2016'!BA13</f>
        <v>0</v>
      </c>
      <c r="N19" s="187">
        <f>'SA Apr 2016'!BB13</f>
        <v>0</v>
      </c>
      <c r="O19" s="186">
        <f t="shared" si="5"/>
        <v>6113.4652000000006</v>
      </c>
      <c r="P19" s="186">
        <f t="shared" si="4"/>
        <v>6113.4652000000006</v>
      </c>
      <c r="Q19" s="186">
        <f t="shared" si="2"/>
        <v>6724.8117200000015</v>
      </c>
      <c r="R19" s="186">
        <f t="shared" si="2"/>
        <v>6724.8117200000015</v>
      </c>
      <c r="S19" s="188">
        <f>'SA Apr 2016'!BI13</f>
        <v>0</v>
      </c>
      <c r="T19" s="189" t="str">
        <f>'SA Apr 2016'!BJ13</f>
        <v>n</v>
      </c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</row>
    <row r="20" spans="1:49" ht="14" x14ac:dyDescent="0.15">
      <c r="A20" s="234" t="str">
        <f>'SA Apr 2016'!K14</f>
        <v>Red Energy</v>
      </c>
      <c r="B20" s="180" t="str">
        <f>'SA Apr 2016'!L14</f>
        <v>Living Energy Saver</v>
      </c>
      <c r="C20" s="181">
        <f>91*'SA Apr 2016'!M14/100</f>
        <v>74.346999999999994</v>
      </c>
      <c r="D20" s="181">
        <f>IF($C$5&gt;='SA Apr 2016'!P14,('SA Apr 2016'!P14*'SA Apr 2016'!N14/100),('SA Bills April 2016'!$C$5*'SA Apr 2016'!N14/100))</f>
        <v>730</v>
      </c>
      <c r="E20" s="181">
        <v>0</v>
      </c>
      <c r="F20" s="182">
        <v>0</v>
      </c>
      <c r="G20" s="183">
        <v>0</v>
      </c>
      <c r="H20" s="184">
        <f>IF(($C$5&lt;'SA Apr 2016'!P14),(0),('SA Bills April 2016'!$C$5-'SA Apr 2016'!P14)*'SA Apr 2016'!Q14/100)</f>
        <v>755</v>
      </c>
      <c r="I20" s="185">
        <f t="shared" si="0"/>
        <v>1559.347</v>
      </c>
      <c r="J20" s="186">
        <f t="shared" si="1"/>
        <v>6237.3879999999999</v>
      </c>
      <c r="K20" s="187">
        <v>0</v>
      </c>
      <c r="L20" s="187">
        <f>'SA Apr 2016'!AZ14</f>
        <v>0</v>
      </c>
      <c r="M20" s="187">
        <f>'SA Apr 2016'!BA14</f>
        <v>10</v>
      </c>
      <c r="N20" s="187">
        <f>'SA Apr 2016'!BB14</f>
        <v>0</v>
      </c>
      <c r="O20" s="186">
        <f>J20</f>
        <v>6237.3879999999999</v>
      </c>
      <c r="P20" s="186">
        <f>O20-(O20*M20/100)</f>
        <v>5613.6491999999998</v>
      </c>
      <c r="Q20" s="186">
        <f t="shared" si="2"/>
        <v>6861.1268000000009</v>
      </c>
      <c r="R20" s="186">
        <f t="shared" si="2"/>
        <v>6175.0141200000007</v>
      </c>
      <c r="S20" s="188">
        <f>'SA Apr 2016'!BI14</f>
        <v>24</v>
      </c>
      <c r="T20" s="189" t="str">
        <f>'SA Apr 2016'!BJ14</f>
        <v>y</v>
      </c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</row>
    <row r="21" spans="1:49" s="256" customFormat="1" ht="14" x14ac:dyDescent="0.15">
      <c r="A21" s="234" t="str">
        <f>'SA Apr 2016'!K15</f>
        <v>Simply Energy</v>
      </c>
      <c r="B21" s="180" t="str">
        <f>'SA Apr 2016'!L15</f>
        <v>Guaranteed</v>
      </c>
      <c r="C21" s="181">
        <f>91*'SA Apr 2016'!M15/100</f>
        <v>69.760599999999997</v>
      </c>
      <c r="D21" s="181">
        <f>IF($C$5&gt;='SA Apr 2016'!P15,('SA Apr 2016'!P15*'SA Apr 2016'!N15/100),('SA Bills April 2016'!$C$5*'SA Apr 2016'!N15/100))</f>
        <v>828.25</v>
      </c>
      <c r="E21" s="181">
        <v>0</v>
      </c>
      <c r="F21" s="182">
        <v>0</v>
      </c>
      <c r="G21" s="183">
        <v>0</v>
      </c>
      <c r="H21" s="184">
        <f>IF(($C$5&lt;'SA Apr 2016'!P15),(0),('SA Bills April 2016'!$C$5-'SA Apr 2016'!P15)*'SA Apr 2016'!Q15/100)</f>
        <v>861.75</v>
      </c>
      <c r="I21" s="185">
        <f t="shared" si="0"/>
        <v>1759.7606000000001</v>
      </c>
      <c r="J21" s="186">
        <f t="shared" si="1"/>
        <v>7039.0424000000003</v>
      </c>
      <c r="K21" s="187">
        <v>0</v>
      </c>
      <c r="L21" s="187">
        <f>'SA Apr 2016'!AZ15</f>
        <v>0</v>
      </c>
      <c r="M21" s="187">
        <f>'SA Apr 2016'!BA15</f>
        <v>0</v>
      </c>
      <c r="N21" s="187">
        <f>'SA Apr 2016'!BB15</f>
        <v>19</v>
      </c>
      <c r="O21" s="186">
        <f>J21</f>
        <v>7039.0424000000003</v>
      </c>
      <c r="P21" s="186">
        <f>O21-((I21-C21)*N21/100)*4</f>
        <v>5754.6424000000006</v>
      </c>
      <c r="Q21" s="186">
        <f t="shared" si="2"/>
        <v>7742.946640000001</v>
      </c>
      <c r="R21" s="186">
        <f t="shared" si="2"/>
        <v>6330.1066400000009</v>
      </c>
      <c r="S21" s="188">
        <f>'SA Apr 2016'!BI15</f>
        <v>24</v>
      </c>
      <c r="T21" s="189" t="str">
        <f>'SA Apr 2016'!BJ15</f>
        <v>y</v>
      </c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</row>
    <row r="22" spans="1:49" ht="15" thickBot="1" x14ac:dyDescent="0.2">
      <c r="A22" s="235" t="str">
        <f>'SA Apr 2016'!K16</f>
        <v>Urth Energy</v>
      </c>
      <c r="B22" s="207" t="str">
        <f>'SA Apr 2016'!L16</f>
        <v>Market offer</v>
      </c>
      <c r="C22" s="193">
        <f>91*'SA Apr 2016'!M16/100</f>
        <v>63.7</v>
      </c>
      <c r="D22" s="193">
        <f>IF($C$5&gt;='SA Apr 2016'!P16,('SA Apr 2016'!P16*'SA Apr 2016'!N16/100),('SA Bills April 2016'!$C$5*'SA Apr 2016'!N16/100))</f>
        <v>737.5</v>
      </c>
      <c r="E22" s="193">
        <v>0</v>
      </c>
      <c r="F22" s="208">
        <v>0</v>
      </c>
      <c r="G22" s="194">
        <v>0</v>
      </c>
      <c r="H22" s="209">
        <f>IF(($C$5&lt;'SA Apr 2016'!P16),(0),('SA Bills April 2016'!$C$5-'SA Apr 2016'!P16)*'SA Apr 2016'!Q16/100)</f>
        <v>837.5</v>
      </c>
      <c r="I22" s="195">
        <f t="shared" si="0"/>
        <v>1638.7</v>
      </c>
      <c r="J22" s="196">
        <f t="shared" si="1"/>
        <v>6554.8</v>
      </c>
      <c r="K22" s="197">
        <v>0</v>
      </c>
      <c r="L22" s="197">
        <f>'SA Apr 2016'!AZ16</f>
        <v>0</v>
      </c>
      <c r="M22" s="197">
        <f>'SA Apr 2016'!BA16</f>
        <v>0</v>
      </c>
      <c r="N22" s="197">
        <f>'SA Apr 2016'!BB16</f>
        <v>10</v>
      </c>
      <c r="O22" s="196">
        <f>J22</f>
        <v>6554.8</v>
      </c>
      <c r="P22" s="196">
        <f>O22-((I22-C22)*N22/100)*4</f>
        <v>5924.8</v>
      </c>
      <c r="Q22" s="196">
        <f t="shared" si="2"/>
        <v>7210.2800000000007</v>
      </c>
      <c r="R22" s="196">
        <f t="shared" si="2"/>
        <v>6517.2800000000007</v>
      </c>
      <c r="S22" s="198">
        <f>'SA Apr 2016'!BI16</f>
        <v>36</v>
      </c>
      <c r="T22" s="199" t="str">
        <f>'SA Apr 2016'!BJ16</f>
        <v>y</v>
      </c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</row>
    <row r="23" spans="1:49" ht="14" x14ac:dyDescent="0.15">
      <c r="A23" s="252"/>
      <c r="B23" s="252"/>
      <c r="C23" s="257"/>
      <c r="D23" s="257"/>
      <c r="E23" s="257"/>
      <c r="F23" s="257"/>
      <c r="G23" s="257"/>
      <c r="H23" s="257"/>
      <c r="I23" s="258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</row>
    <row r="24" spans="1:49" ht="15" thickBot="1" x14ac:dyDescent="0.2">
      <c r="A24" s="252"/>
      <c r="B24" s="252"/>
      <c r="C24" s="257"/>
      <c r="D24" s="257"/>
      <c r="E24" s="257"/>
      <c r="F24" s="257"/>
      <c r="G24" s="257"/>
      <c r="H24" s="257"/>
      <c r="I24" s="258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</row>
    <row r="25" spans="1:49" ht="14" x14ac:dyDescent="0.15">
      <c r="A25" s="165" t="s">
        <v>84</v>
      </c>
      <c r="B25" s="166"/>
      <c r="C25" s="166"/>
      <c r="D25" s="202"/>
      <c r="E25" s="202"/>
      <c r="F25" s="202"/>
      <c r="G25" s="202"/>
      <c r="H25" s="202"/>
      <c r="I25" s="203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8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</row>
    <row r="26" spans="1:49" ht="14" x14ac:dyDescent="0.15">
      <c r="A26" s="169" t="s">
        <v>197</v>
      </c>
      <c r="B26" s="134"/>
      <c r="C26" s="170">
        <v>5000</v>
      </c>
      <c r="D26" s="204"/>
      <c r="E26" s="204"/>
      <c r="F26" s="204"/>
      <c r="G26" s="204"/>
      <c r="H26" s="204"/>
      <c r="I26" s="205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7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</row>
    <row r="27" spans="1:49" ht="14" x14ac:dyDescent="0.15">
      <c r="A27" s="169" t="s">
        <v>85</v>
      </c>
      <c r="B27" s="134"/>
      <c r="C27" s="206">
        <v>0.7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</row>
    <row r="28" spans="1:49" ht="14" x14ac:dyDescent="0.15">
      <c r="A28" s="169" t="s">
        <v>171</v>
      </c>
      <c r="B28" s="134"/>
      <c r="C28" s="206">
        <v>0.3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</row>
    <row r="29" spans="1:49" ht="14" x14ac:dyDescent="0.15">
      <c r="A29" s="169"/>
      <c r="B29" s="134"/>
      <c r="C29" s="204"/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</row>
    <row r="30" spans="1:49" ht="75" x14ac:dyDescent="0.15">
      <c r="A30" s="230" t="s">
        <v>216</v>
      </c>
      <c r="B30" s="231" t="s">
        <v>198</v>
      </c>
      <c r="C30" s="173" t="s">
        <v>199</v>
      </c>
      <c r="D30" s="173" t="s">
        <v>200</v>
      </c>
      <c r="E30" s="173" t="s">
        <v>201</v>
      </c>
      <c r="F30" s="173" t="s">
        <v>164</v>
      </c>
      <c r="G30" s="173" t="s">
        <v>84</v>
      </c>
      <c r="H30" s="173" t="s">
        <v>233</v>
      </c>
      <c r="I30" s="173" t="s">
        <v>165</v>
      </c>
      <c r="J30" s="174" t="s">
        <v>166</v>
      </c>
      <c r="K30" s="175" t="s">
        <v>167</v>
      </c>
      <c r="L30" s="175" t="s">
        <v>168</v>
      </c>
      <c r="M30" s="175" t="s">
        <v>169</v>
      </c>
      <c r="N30" s="175" t="s">
        <v>170</v>
      </c>
      <c r="O30" s="238" t="s">
        <v>579</v>
      </c>
      <c r="P30" s="176" t="s">
        <v>580</v>
      </c>
      <c r="Q30" s="176" t="s">
        <v>227</v>
      </c>
      <c r="R30" s="176" t="s">
        <v>272</v>
      </c>
      <c r="S30" s="239" t="s">
        <v>82</v>
      </c>
      <c r="T30" s="177" t="s">
        <v>83</v>
      </c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</row>
    <row r="31" spans="1:49" ht="14" x14ac:dyDescent="0.15">
      <c r="A31" s="234" t="str">
        <f>'SA Apr 2016'!K17</f>
        <v>AGL</v>
      </c>
      <c r="B31" s="180" t="str">
        <f>'SA Apr 2016'!L17</f>
        <v xml:space="preserve">Business Savers </v>
      </c>
      <c r="C31" s="181">
        <f>91*'SA Apr 2016'!M17/100</f>
        <v>61.943699999999993</v>
      </c>
      <c r="D31" s="181">
        <f>IF(($C$26*$C$27)&gt;='SA Apr 2016'!P17,('SA Apr 2016'!P17*'SA Apr 2016'!N17/100),(('SA Bills April 2016'!$C$26*'SA Bills April 2016'!$C$27)*'SA Apr 2016'!N17/100))</f>
        <v>783.4375</v>
      </c>
      <c r="E31" s="181">
        <v>0</v>
      </c>
      <c r="F31" s="181">
        <f>IF($C$26*$C$27&lt;'SA Apr 2016'!P17,(0),((('SA Bills April 2016'!$C$26*'SA Bills April 2016'!$C$27)-('SA Apr 2016'!P17))*'SA Apr 2016'!Q17/100))</f>
        <v>326</v>
      </c>
      <c r="G31" s="181">
        <f>($C$26*$C$28)*'SA Apr 2016'!AF17/100</f>
        <v>199.65</v>
      </c>
      <c r="H31" s="240">
        <v>0</v>
      </c>
      <c r="I31" s="185">
        <f t="shared" ref="I31:I44" si="6">SUM(C31:G31)</f>
        <v>1371.0312000000001</v>
      </c>
      <c r="J31" s="186">
        <f>I31*4</f>
        <v>5484.1248000000005</v>
      </c>
      <c r="K31" s="187">
        <v>0</v>
      </c>
      <c r="L31" s="187">
        <f>'SA Apr 2016'!AZ17</f>
        <v>15</v>
      </c>
      <c r="M31" s="187">
        <f>'SA Apr 2016'!BA17</f>
        <v>0</v>
      </c>
      <c r="N31" s="187">
        <f>'SA Apr 2016'!BB17</f>
        <v>0</v>
      </c>
      <c r="O31" s="186">
        <f>J31-((I31-C31)*L31/100)*4</f>
        <v>4698.6723000000002</v>
      </c>
      <c r="P31" s="186">
        <f>O31</f>
        <v>4698.6723000000002</v>
      </c>
      <c r="Q31" s="186">
        <f>O31*1.1</f>
        <v>5168.5395300000009</v>
      </c>
      <c r="R31" s="186">
        <f>P31*1.1</f>
        <v>5168.5395300000009</v>
      </c>
      <c r="S31" s="188">
        <f>'SA Apr 2016'!BI25</f>
        <v>12</v>
      </c>
      <c r="T31" s="189" t="str">
        <f>'SA Apr 2016'!BJ25</f>
        <v>y</v>
      </c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</row>
    <row r="32" spans="1:49" s="256" customFormat="1" ht="14" x14ac:dyDescent="0.15">
      <c r="A32" s="234" t="str">
        <f>'SA Apr 2016'!K18</f>
        <v>Alinta Energy</v>
      </c>
      <c r="B32" s="180" t="str">
        <f>'SA Apr 2016'!L18</f>
        <v>Fair Go Business</v>
      </c>
      <c r="C32" s="181">
        <f>91*'SA Apr 2016'!M18/100</f>
        <v>61.88</v>
      </c>
      <c r="D32" s="181">
        <f>IF(($C$26*$C$27)&gt;='SA Apr 2016'!P18,('SA Apr 2016'!P18*'SA Apr 2016'!N18/100),(('SA Bills April 2016'!$C$26*'SA Bills April 2016'!$C$27)*'SA Apr 2016'!N18/100))</f>
        <v>767.25</v>
      </c>
      <c r="E32" s="181">
        <v>0</v>
      </c>
      <c r="F32" s="181">
        <f>IF($C$26*$C$27&lt;'SA Apr 2016'!P18,(0),((('SA Bills April 2016'!$C$26*'SA Bills April 2016'!$C$27)-('SA Apr 2016'!P18))*'SA Apr 2016'!Q18/100))</f>
        <v>310.8</v>
      </c>
      <c r="G32" s="181">
        <f>IF(($C$26*$C$28)&gt;='SA Apr 2016'!AG18,('SA Apr 2016'!AG18*'SA Apr 2016'!AF18/100),(('SA Bills April 2016'!$C$26*'SA Bills April 2016'!$C$28)*'SA Apr 2016'!AF18/100))</f>
        <v>215.25</v>
      </c>
      <c r="H32" s="240">
        <f>IF($C$26*$C$28&lt;'SA Apr 2016'!AG18,(0),((('SA Bills April 2016'!$C$26*'SA Bills April 2016'!$C$28)-('SA Apr 2016'!AG18))*'SA Apr 2016'!AH18/100))</f>
        <v>0</v>
      </c>
      <c r="I32" s="185">
        <f t="shared" si="6"/>
        <v>1355.18</v>
      </c>
      <c r="J32" s="186">
        <f t="shared" ref="J32:J44" si="7">I32*4</f>
        <v>5420.72</v>
      </c>
      <c r="K32" s="187">
        <v>0</v>
      </c>
      <c r="L32" s="187">
        <f>'SA Apr 2016'!AZ18</f>
        <v>0</v>
      </c>
      <c r="M32" s="187">
        <f>'SA Apr 2016'!BA18</f>
        <v>0</v>
      </c>
      <c r="N32" s="187">
        <f>'SA Apr 2016'!BB18</f>
        <v>25</v>
      </c>
      <c r="O32" s="186">
        <f>J32</f>
        <v>5420.72</v>
      </c>
      <c r="P32" s="186">
        <f>O32-((I32-C32)*N32/100)*4</f>
        <v>4127.42</v>
      </c>
      <c r="Q32" s="186">
        <f t="shared" ref="Q32:R44" si="8">O32*1.1</f>
        <v>5962.7920000000004</v>
      </c>
      <c r="R32" s="186">
        <f t="shared" si="8"/>
        <v>4540.1620000000003</v>
      </c>
      <c r="S32" s="188">
        <f>'SA Apr 2016'!BI26</f>
        <v>0</v>
      </c>
      <c r="T32" s="189" t="str">
        <f>'SA Apr 2016'!BJ26</f>
        <v>n</v>
      </c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</row>
    <row r="33" spans="1:49" ht="14" x14ac:dyDescent="0.15">
      <c r="A33" s="234" t="str">
        <f>'SA Apr 2016'!K19</f>
        <v>Click Energy</v>
      </c>
      <c r="B33" s="180" t="str">
        <f>'SA Apr 2016'!L19</f>
        <v>Click Business</v>
      </c>
      <c r="C33" s="181">
        <f>91*'SA Apr 2016'!M19/100</f>
        <v>80.08</v>
      </c>
      <c r="D33" s="181">
        <f>IF(($C$26*$C$27)&gt;='SA Apr 2016'!P19,('SA Apr 2016'!P19*'SA Apr 2016'!N19/100),(('SA Bills April 2016'!$C$26*'SA Bills April 2016'!$C$27)*'SA Apr 2016'!N19/100))</f>
        <v>775</v>
      </c>
      <c r="E33" s="181">
        <v>0</v>
      </c>
      <c r="F33" s="181">
        <f>IF($C$26*$C$27&lt;'SA Apr 2016'!P19,(0),((('SA Bills April 2016'!$C$26*'SA Bills April 2016'!$C$27)-('SA Apr 2016'!P19))*'SA Apr 2016'!Q19/100))</f>
        <v>329</v>
      </c>
      <c r="G33" s="181">
        <f>($C$26*$C$28)*'SA Apr 2016'!AF19/100</f>
        <v>303</v>
      </c>
      <c r="H33" s="240">
        <v>0</v>
      </c>
      <c r="I33" s="185">
        <f t="shared" si="6"/>
        <v>1487.08</v>
      </c>
      <c r="J33" s="186">
        <f t="shared" si="7"/>
        <v>5948.32</v>
      </c>
      <c r="K33" s="187">
        <v>0</v>
      </c>
      <c r="L33" s="187">
        <f>'SA Apr 2016'!AZ19</f>
        <v>0</v>
      </c>
      <c r="M33" s="187">
        <f>'SA Apr 2016'!BA19</f>
        <v>7</v>
      </c>
      <c r="N33" s="187">
        <f>'SA Apr 2016'!BB19</f>
        <v>0</v>
      </c>
      <c r="O33" s="186">
        <f>J33</f>
        <v>5948.32</v>
      </c>
      <c r="P33" s="186">
        <f>O33-(O33*M33/100)</f>
        <v>5531.9375999999993</v>
      </c>
      <c r="Q33" s="186">
        <f t="shared" si="8"/>
        <v>6543.152</v>
      </c>
      <c r="R33" s="186">
        <f t="shared" si="8"/>
        <v>6085.1313599999994</v>
      </c>
      <c r="S33" s="188">
        <f>'SA Apr 2016'!BI27</f>
        <v>0</v>
      </c>
      <c r="T33" s="189" t="str">
        <f>'SA Apr 2016'!BJ27</f>
        <v>n</v>
      </c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</row>
    <row r="34" spans="1:49" s="256" customFormat="1" ht="14" x14ac:dyDescent="0.15">
      <c r="A34" s="234" t="str">
        <f>'SA Apr 2016'!K20</f>
        <v>Commander</v>
      </c>
      <c r="B34" s="180" t="str">
        <f>'SA Apr 2016'!L20</f>
        <v>Market offer</v>
      </c>
      <c r="C34" s="181">
        <f>91*'SA Apr 2016'!M20/100</f>
        <v>63.927500000000002</v>
      </c>
      <c r="D34" s="181">
        <f>IF(($C$26*$C$27)&gt;='SA Apr 2016'!P20,('SA Apr 2016'!P20*'SA Apr 2016'!N20/100),(('SA Bills April 2016'!$C$26*'SA Bills April 2016'!$C$27)*'SA Apr 2016'!N20/100))</f>
        <v>765</v>
      </c>
      <c r="E34" s="181">
        <v>0</v>
      </c>
      <c r="F34" s="181">
        <f>IF($C$26*$C$27&lt;'SA Apr 2016'!P20,(0),((('SA Bills April 2016'!$C$26*'SA Bills April 2016'!$C$27)-('SA Apr 2016'!P20))*'SA Apr 2016'!Q20/100))</f>
        <v>321</v>
      </c>
      <c r="G34" s="181">
        <f>($C$26*$C$28)*'SA Apr 2016'!AF20/100</f>
        <v>196.5</v>
      </c>
      <c r="H34" s="240">
        <v>0</v>
      </c>
      <c r="I34" s="185">
        <f t="shared" si="6"/>
        <v>1346.4275</v>
      </c>
      <c r="J34" s="186">
        <f t="shared" si="7"/>
        <v>5385.71</v>
      </c>
      <c r="K34" s="187">
        <v>0</v>
      </c>
      <c r="L34" s="187">
        <f>'SA Apr 2016'!AZ20</f>
        <v>0</v>
      </c>
      <c r="M34" s="187">
        <f>'SA Apr 2016'!BA20</f>
        <v>0</v>
      </c>
      <c r="N34" s="187">
        <f>'SA Apr 2016'!BB20</f>
        <v>20</v>
      </c>
      <c r="O34" s="186">
        <f>J34</f>
        <v>5385.71</v>
      </c>
      <c r="P34" s="186">
        <f>O34-((I34-C34)*N34/100)*4</f>
        <v>4359.71</v>
      </c>
      <c r="Q34" s="186">
        <f t="shared" si="8"/>
        <v>5924.2810000000009</v>
      </c>
      <c r="R34" s="186">
        <f t="shared" si="8"/>
        <v>4795.6810000000005</v>
      </c>
      <c r="S34" s="188">
        <f>'SA Apr 2016'!BI28</f>
        <v>24</v>
      </c>
      <c r="T34" s="189" t="str">
        <f>'SA Apr 2016'!BJ28</f>
        <v>y</v>
      </c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</row>
    <row r="35" spans="1:49" ht="14" x14ac:dyDescent="0.15">
      <c r="A35" s="234" t="str">
        <f>'SA Apr 2016'!K21</f>
        <v>Diamond Energy</v>
      </c>
      <c r="B35" s="180" t="str">
        <f>'SA Apr 2016'!L21</f>
        <v>Pay on time discount</v>
      </c>
      <c r="C35" s="181">
        <f>91*'SA Apr 2016'!M21/100</f>
        <v>68.067999999999998</v>
      </c>
      <c r="D35" s="181">
        <f>IF($C$26*$C$27&gt;='SA Apr 2016'!P21,('SA Apr 2016'!P21*'SA Apr 2016'!N21/100),($C$26*$C$27*'SA Apr 2016'!N21/100))</f>
        <v>673.75</v>
      </c>
      <c r="E35" s="181">
        <f>IF($C$26*$C$27&lt;'SA Apr 2016'!P21,0,IF(($C$26*$C$27-'SA Apr 2016'!P21)&lt;'SA Apr 2016'!R21,(( $C$26*$C$27-'SA Apr 2016'!P21)*'SA Apr 2016'!Q21/100),(('SA Apr 2016'!R21-'SA Apr 2016'!P21)*'SA Apr 2016'!Q21/100)))</f>
        <v>291.5</v>
      </c>
      <c r="F35" s="181">
        <f>IF($C$26*$C$27&lt;'SA Apr 2016'!R21,(0),((('SA Bills April 2016'!$C$26*'SA Bills April 2016'!$C$27)-('SA Apr 2016'!R21))*'SA Apr 2016'!S21/100))</f>
        <v>0</v>
      </c>
      <c r="G35" s="181">
        <f>($C$26*$C$28)*'SA Apr 2016'!AF21/100</f>
        <v>191.25</v>
      </c>
      <c r="H35" s="240">
        <v>0</v>
      </c>
      <c r="I35" s="185">
        <f t="shared" si="6"/>
        <v>1224.568</v>
      </c>
      <c r="J35" s="186">
        <f t="shared" si="7"/>
        <v>4898.2719999999999</v>
      </c>
      <c r="K35" s="187">
        <v>0</v>
      </c>
      <c r="L35" s="187">
        <f>'SA Apr 2016'!AZ21</f>
        <v>0</v>
      </c>
      <c r="M35" s="187">
        <f>'SA Apr 2016'!BA21</f>
        <v>3</v>
      </c>
      <c r="N35" s="187">
        <f>'SA Apr 2016'!BB21</f>
        <v>0</v>
      </c>
      <c r="O35" s="186">
        <f>J35</f>
        <v>4898.2719999999999</v>
      </c>
      <c r="P35" s="186">
        <f>O35-(O35*M35/100)</f>
        <v>4751.32384</v>
      </c>
      <c r="Q35" s="186">
        <f t="shared" si="8"/>
        <v>5388.0992000000006</v>
      </c>
      <c r="R35" s="186">
        <f t="shared" si="8"/>
        <v>5226.4562240000005</v>
      </c>
      <c r="S35" s="188">
        <f>'SA Apr 2016'!BI29</f>
        <v>24</v>
      </c>
      <c r="T35" s="189" t="str">
        <f>'SA Apr 2016'!BJ29</f>
        <v>y</v>
      </c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</row>
    <row r="36" spans="1:49" s="256" customFormat="1" ht="14" x14ac:dyDescent="0.15">
      <c r="A36" s="234" t="str">
        <f>'SA Apr 2016'!K22</f>
        <v>EnergyAustralia</v>
      </c>
      <c r="B36" s="180" t="str">
        <f>'SA Apr 2016'!L22</f>
        <v>Everyday Saver Business</v>
      </c>
      <c r="C36" s="181">
        <f>91*'SA Apr 2016'!M22/100</f>
        <v>68.795999999999992</v>
      </c>
      <c r="D36" s="181">
        <f>IF($C$26*$C$27&gt;='SA Apr 2016'!P22,('SA Apr 2016'!P22*'SA Apr 2016'!N22/100),($C$26*$C$27*'SA Apr 2016'!N22/100))</f>
        <v>805</v>
      </c>
      <c r="E36" s="181">
        <f>IF($C$26*$C$27&lt;'SA Apr 2016'!P22,0,IF(($C$26*$C$27-'SA Apr 2016'!P22)&lt;'SA Apr 2016'!R22,(( $C$26*$C$27-'SA Apr 2016'!P22)*'SA Apr 2016'!Q22/100),(('SA Apr 2016'!R22-'SA Apr 2016'!P22)*'SA Apr 2016'!Q22/100)))</f>
        <v>346.5</v>
      </c>
      <c r="F36" s="181">
        <f>IF($C$26*$C$27&lt;'SA Apr 2016'!R22,(0),((('SA Bills April 2016'!$C$26*'SA Bills April 2016'!$C$27)-('SA Apr 2016'!R22))*'SA Apr 2016'!S22/100))</f>
        <v>0</v>
      </c>
      <c r="G36" s="181">
        <f>($C$26*$C$28)*'SA Apr 2016'!AF22/100</f>
        <v>209.55</v>
      </c>
      <c r="H36" s="240">
        <v>0</v>
      </c>
      <c r="I36" s="185">
        <f t="shared" si="6"/>
        <v>1429.846</v>
      </c>
      <c r="J36" s="186">
        <f t="shared" si="7"/>
        <v>5719.384</v>
      </c>
      <c r="K36" s="187">
        <v>0</v>
      </c>
      <c r="L36" s="187">
        <f>'SA Apr 2016'!AZ22</f>
        <v>21</v>
      </c>
      <c r="M36" s="187">
        <f>'SA Apr 2016'!BA22</f>
        <v>0</v>
      </c>
      <c r="N36" s="187">
        <f>'SA Apr 2016'!BB22</f>
        <v>0</v>
      </c>
      <c r="O36" s="186">
        <f>J36-((I36-C36)*L36/100)*4</f>
        <v>4576.1019999999999</v>
      </c>
      <c r="P36" s="186">
        <f>O36</f>
        <v>4576.1019999999999</v>
      </c>
      <c r="Q36" s="186">
        <f t="shared" si="8"/>
        <v>5033.7121999999999</v>
      </c>
      <c r="R36" s="186">
        <f t="shared" si="8"/>
        <v>5033.7121999999999</v>
      </c>
      <c r="S36" s="188">
        <f>'SA Apr 2016'!BI30</f>
        <v>36</v>
      </c>
      <c r="T36" s="189" t="str">
        <f>'SA Apr 2016'!BJ30</f>
        <v>y</v>
      </c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</row>
    <row r="37" spans="1:49" ht="14" x14ac:dyDescent="0.15">
      <c r="A37" s="234" t="str">
        <f>'SA Apr 2016'!K23</f>
        <v>ERM Power</v>
      </c>
      <c r="B37" s="180" t="str">
        <f>'SA Apr 2016'!L23</f>
        <v>Adjustable</v>
      </c>
      <c r="C37" s="181">
        <f>91*'SA Apr 2016'!M23/100</f>
        <v>90.09</v>
      </c>
      <c r="D37" s="181">
        <f>(C26*C27)*'SA Apr 2016'!N23/100</f>
        <v>1062.95</v>
      </c>
      <c r="E37" s="181">
        <v>0</v>
      </c>
      <c r="F37" s="181">
        <v>0</v>
      </c>
      <c r="G37" s="181">
        <f>($C$26*$C$28)*'SA Apr 2016'!AF23/100</f>
        <v>269.55</v>
      </c>
      <c r="H37" s="240">
        <v>0</v>
      </c>
      <c r="I37" s="185">
        <f t="shared" si="6"/>
        <v>1422.59</v>
      </c>
      <c r="J37" s="186">
        <f t="shared" si="7"/>
        <v>5690.36</v>
      </c>
      <c r="K37" s="187">
        <v>0</v>
      </c>
      <c r="L37" s="187">
        <f>'SA Apr 2016'!AZ23</f>
        <v>0</v>
      </c>
      <c r="M37" s="187">
        <f>'SA Apr 2016'!BA23</f>
        <v>0</v>
      </c>
      <c r="N37" s="187">
        <f>'SA Apr 2016'!BB23</f>
        <v>0</v>
      </c>
      <c r="O37" s="186">
        <f>J37</f>
        <v>5690.36</v>
      </c>
      <c r="P37" s="186">
        <f>O37</f>
        <v>5690.36</v>
      </c>
      <c r="Q37" s="186">
        <f t="shared" si="8"/>
        <v>6259.3959999999997</v>
      </c>
      <c r="R37" s="186">
        <f t="shared" si="8"/>
        <v>6259.3959999999997</v>
      </c>
      <c r="S37" s="188">
        <f>'SA Apr 2016'!BI31</f>
        <v>0</v>
      </c>
      <c r="T37" s="189" t="str">
        <f>'SA Apr 2016'!BJ31</f>
        <v>n</v>
      </c>
      <c r="U37" s="255"/>
      <c r="V37" s="255"/>
      <c r="W37" s="273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</row>
    <row r="38" spans="1:49" s="256" customFormat="1" ht="14" x14ac:dyDescent="0.15">
      <c r="A38" s="234" t="str">
        <f>'SA Apr 2016'!K24</f>
        <v>Momentum Energy</v>
      </c>
      <c r="B38" s="180" t="str">
        <f>'SA Apr 2016'!L24</f>
        <v>SmilePower</v>
      </c>
      <c r="C38" s="181">
        <f>91*'SA Apr 2016'!M24/100</f>
        <v>75.165999999999997</v>
      </c>
      <c r="D38" s="181">
        <f>IF(($C$26*$C$27)&gt;='SA Apr 2016'!P24,('SA Apr 2016'!P24*'SA Apr 2016'!N24/100),(('SA Bills April 2016'!$C$26*'SA Bills April 2016'!$C$27)*'SA Apr 2016'!N24/100))</f>
        <v>380.28</v>
      </c>
      <c r="E38" s="181">
        <v>0</v>
      </c>
      <c r="F38" s="181">
        <f>IF($C$26*$C$27&lt;'SA Apr 2016'!P24,(0),((('SA Bills April 2016'!$C$26*'SA Bills April 2016'!$C$27)-('SA Apr 2016'!P24))*'SA Apr 2016'!Q24/100))</f>
        <v>676.66</v>
      </c>
      <c r="G38" s="181">
        <f>($C$26*$C$28)*'SA Apr 2016'!AF24/100</f>
        <v>286.2</v>
      </c>
      <c r="H38" s="240">
        <v>0</v>
      </c>
      <c r="I38" s="185">
        <f t="shared" si="6"/>
        <v>1418.306</v>
      </c>
      <c r="J38" s="186">
        <f t="shared" si="7"/>
        <v>5673.2240000000002</v>
      </c>
      <c r="K38" s="187">
        <v>0</v>
      </c>
      <c r="L38" s="187">
        <f>'SA Apr 2016'!AZ24</f>
        <v>0</v>
      </c>
      <c r="M38" s="187">
        <f>'SA Apr 2016'!BA24</f>
        <v>0</v>
      </c>
      <c r="N38" s="187">
        <f>'SA Apr 2016'!BB24</f>
        <v>0</v>
      </c>
      <c r="O38" s="186">
        <f t="shared" ref="O38" si="9">J38</f>
        <v>5673.2240000000002</v>
      </c>
      <c r="P38" s="186">
        <f t="shared" ref="P38:P41" si="10">O38</f>
        <v>5673.2240000000002</v>
      </c>
      <c r="Q38" s="186">
        <f t="shared" si="8"/>
        <v>6240.5464000000011</v>
      </c>
      <c r="R38" s="186">
        <f t="shared" si="8"/>
        <v>6240.5464000000011</v>
      </c>
      <c r="S38" s="188">
        <v>36</v>
      </c>
      <c r="T38" s="189" t="s">
        <v>174</v>
      </c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</row>
    <row r="39" spans="1:49" ht="14" x14ac:dyDescent="0.15">
      <c r="A39" s="234" t="str">
        <f>'SA Apr 2016'!K25</f>
        <v>Origin Energy</v>
      </c>
      <c r="B39" s="180" t="str">
        <f>'SA Apr 2016'!L25</f>
        <v>Business Saver</v>
      </c>
      <c r="C39" s="181">
        <f>91*'SA Apr 2016'!M25/100</f>
        <v>64.100399999999993</v>
      </c>
      <c r="D39" s="181">
        <f>IF(($C$26*$C$27)&gt;='SA Apr 2016'!P25,('SA Apr 2016'!P25*'SA Apr 2016'!N25/100),(('SA Bills April 2016'!$C$26*'SA Bills April 2016'!$C$27)*'SA Apr 2016'!N25/100))</f>
        <v>767.25</v>
      </c>
      <c r="E39" s="181">
        <v>0</v>
      </c>
      <c r="F39" s="181">
        <f>IF($C$26*$C$27&lt;'SA Apr 2016'!P25,(0),((('SA Bills April 2016'!$C$26*'SA Bills April 2016'!$C$27)-('SA Apr 2016'!P25))*'SA Apr 2016'!Q25/100))</f>
        <v>319.10000000000002</v>
      </c>
      <c r="G39" s="181">
        <f>($C$26*$C$28)*'SA Apr 2016'!AF25/100</f>
        <v>213.45</v>
      </c>
      <c r="H39" s="240">
        <v>0</v>
      </c>
      <c r="I39" s="185">
        <f t="shared" si="6"/>
        <v>1363.9004000000002</v>
      </c>
      <c r="J39" s="186">
        <f t="shared" si="7"/>
        <v>5455.6016000000009</v>
      </c>
      <c r="K39" s="187">
        <v>0</v>
      </c>
      <c r="L39" s="187">
        <f>'SA Apr 2016'!AZ25</f>
        <v>20</v>
      </c>
      <c r="M39" s="187">
        <f>'SA Apr 2016'!BA25</f>
        <v>0</v>
      </c>
      <c r="N39" s="187">
        <f>'SA Apr 2016'!BB25</f>
        <v>0</v>
      </c>
      <c r="O39" s="186">
        <f>J39-((I39-C39)*L39/100)*4</f>
        <v>4415.7616000000007</v>
      </c>
      <c r="P39" s="186">
        <f>O39</f>
        <v>4415.7616000000007</v>
      </c>
      <c r="Q39" s="186">
        <f t="shared" si="8"/>
        <v>4857.3377600000013</v>
      </c>
      <c r="R39" s="186">
        <f t="shared" si="8"/>
        <v>4857.3377600000013</v>
      </c>
      <c r="S39" s="188">
        <v>12</v>
      </c>
      <c r="T39" s="189" t="s">
        <v>175</v>
      </c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</row>
    <row r="40" spans="1:49" s="256" customFormat="1" ht="14" x14ac:dyDescent="0.15">
      <c r="A40" s="234" t="str">
        <f>'SA Apr 2016'!K26</f>
        <v>Pacific Hydro</v>
      </c>
      <c r="B40" s="180" t="str">
        <f>'SA Apr 2016'!L26</f>
        <v xml:space="preserve">Business Smart </v>
      </c>
      <c r="C40" s="181">
        <f>91*'SA Apr 2016'!M26/100</f>
        <v>60.332999999999998</v>
      </c>
      <c r="D40" s="181">
        <f>IF(($C$26*$C$27)&gt;='SA Apr 2016'!P26,('SA Apr 2016'!P26*'SA Apr 2016'!N26/100),(('SA Bills April 2016'!$C$26*'SA Bills April 2016'!$C$27)*'SA Apr 2016'!N26/100))</f>
        <v>652.5</v>
      </c>
      <c r="E40" s="181">
        <v>0</v>
      </c>
      <c r="F40" s="181">
        <f>IF($C$26*$C$27&lt;'SA Apr 2016'!P26,(0),((('SA Bills April 2016'!$C$26*'SA Bills April 2016'!$C$27)-('SA Apr 2016'!P26))*'SA Apr 2016'!Q26/100))</f>
        <v>282</v>
      </c>
      <c r="G40" s="181">
        <f>($C$26*$C$28)*'SA Apr 2016'!AF26/100</f>
        <v>157.5</v>
      </c>
      <c r="H40" s="240">
        <v>0</v>
      </c>
      <c r="I40" s="185">
        <f t="shared" si="6"/>
        <v>1152.3330000000001</v>
      </c>
      <c r="J40" s="186">
        <f t="shared" si="7"/>
        <v>4609.3320000000003</v>
      </c>
      <c r="K40" s="187">
        <v>0</v>
      </c>
      <c r="L40" s="187">
        <f>'SA Apr 2016'!AZ26</f>
        <v>0</v>
      </c>
      <c r="M40" s="187">
        <f>'SA Apr 2016'!BA26</f>
        <v>0</v>
      </c>
      <c r="N40" s="187">
        <f>'SA Apr 2016'!BB26</f>
        <v>0</v>
      </c>
      <c r="O40" s="186">
        <f t="shared" ref="O40:O41" si="11">J40</f>
        <v>4609.3320000000003</v>
      </c>
      <c r="P40" s="186">
        <f t="shared" si="10"/>
        <v>4609.3320000000003</v>
      </c>
      <c r="Q40" s="186">
        <f t="shared" si="8"/>
        <v>5070.2652000000007</v>
      </c>
      <c r="R40" s="186">
        <f t="shared" si="8"/>
        <v>5070.2652000000007</v>
      </c>
      <c r="S40" s="188">
        <v>12</v>
      </c>
      <c r="T40" s="189" t="s">
        <v>175</v>
      </c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</row>
    <row r="41" spans="1:49" ht="14" x14ac:dyDescent="0.15">
      <c r="A41" s="234" t="str">
        <f>'SA Apr 2016'!K27</f>
        <v>Powerdirect</v>
      </c>
      <c r="B41" s="180" t="str">
        <f>'SA Apr 2016'!L27</f>
        <v>Quarterly read</v>
      </c>
      <c r="C41" s="181">
        <f>91*'SA Apr 2016'!M27/100</f>
        <v>66.36630000000001</v>
      </c>
      <c r="D41" s="181">
        <f>IF(($C$26*$C$27)&gt;='SA Apr 2016'!P27,('SA Apr 2016'!P27*'SA Apr 2016'!N27/100),(('SA Bills April 2016'!$C$26*'SA Bills April 2016'!$C$27)*'SA Apr 2016'!N27/100))</f>
        <v>717.5</v>
      </c>
      <c r="E41" s="181">
        <v>0</v>
      </c>
      <c r="F41" s="181">
        <f>IF($C$26*$C$27&lt;'SA Apr 2016'!P27,(0),((('SA Bills April 2016'!$C$26*'SA Bills April 2016'!$C$27)-('SA Apr 2016'!P27))*'SA Apr 2016'!Q27/100))</f>
        <v>297.8</v>
      </c>
      <c r="G41" s="181">
        <f>($C$26*$C$28)*'SA Apr 2016'!AF27/100</f>
        <v>214.65</v>
      </c>
      <c r="H41" s="240">
        <v>0</v>
      </c>
      <c r="I41" s="185">
        <f t="shared" si="6"/>
        <v>1296.3163000000002</v>
      </c>
      <c r="J41" s="186">
        <f t="shared" si="7"/>
        <v>5185.2652000000007</v>
      </c>
      <c r="K41" s="187">
        <v>0</v>
      </c>
      <c r="L41" s="187">
        <f>'SA Apr 2016'!AZ27</f>
        <v>0</v>
      </c>
      <c r="M41" s="187">
        <f>'SA Apr 2016'!BA27</f>
        <v>0</v>
      </c>
      <c r="N41" s="187">
        <f>'SA Apr 2016'!BB27</f>
        <v>0</v>
      </c>
      <c r="O41" s="186">
        <f t="shared" si="11"/>
        <v>5185.2652000000007</v>
      </c>
      <c r="P41" s="186">
        <f t="shared" si="10"/>
        <v>5185.2652000000007</v>
      </c>
      <c r="Q41" s="186">
        <f t="shared" si="8"/>
        <v>5703.7917200000011</v>
      </c>
      <c r="R41" s="186">
        <f t="shared" si="8"/>
        <v>5703.7917200000011</v>
      </c>
      <c r="S41" s="188">
        <v>0</v>
      </c>
      <c r="T41" s="189" t="s">
        <v>174</v>
      </c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</row>
    <row r="42" spans="1:49" s="256" customFormat="1" ht="14" x14ac:dyDescent="0.15">
      <c r="A42" s="234" t="str">
        <f>'SA Apr 2016'!K28</f>
        <v>Red Energy</v>
      </c>
      <c r="B42" s="180" t="str">
        <f>'SA Apr 2016'!L28</f>
        <v>Living Energy Saver</v>
      </c>
      <c r="C42" s="181">
        <f>91*'SA Apr 2016'!M28/100</f>
        <v>74.346999999999994</v>
      </c>
      <c r="D42" s="181">
        <f>IF(($C$26*$C$27)&gt;='SA Apr 2016'!P28,('SA Apr 2016'!P28*'SA Apr 2016'!N28/100),(('SA Bills April 2016'!$C$26*'SA Bills April 2016'!$C$27)*'SA Apr 2016'!N28/100))</f>
        <v>730</v>
      </c>
      <c r="E42" s="181">
        <v>0</v>
      </c>
      <c r="F42" s="181">
        <f>IF($C$26*$C$27&lt;'SA Apr 2016'!P28,(0),((('SA Bills April 2016'!$C$26*'SA Bills April 2016'!$C$27)-('SA Apr 2016'!P28))*'SA Apr 2016'!Q28/100))</f>
        <v>302</v>
      </c>
      <c r="G42" s="181">
        <f>($C$26*$C$28)*'SA Apr 2016'!AF28/100</f>
        <v>228</v>
      </c>
      <c r="H42" s="240">
        <v>0</v>
      </c>
      <c r="I42" s="185">
        <f t="shared" si="6"/>
        <v>1334.347</v>
      </c>
      <c r="J42" s="186">
        <f t="shared" si="7"/>
        <v>5337.3879999999999</v>
      </c>
      <c r="K42" s="187">
        <v>0</v>
      </c>
      <c r="L42" s="187">
        <f>'SA Apr 2016'!AZ28</f>
        <v>0</v>
      </c>
      <c r="M42" s="187">
        <f>'SA Apr 2016'!BA28</f>
        <v>10</v>
      </c>
      <c r="N42" s="187">
        <f>'SA Apr 2016'!BB28</f>
        <v>0</v>
      </c>
      <c r="O42" s="186">
        <f>J42</f>
        <v>5337.3879999999999</v>
      </c>
      <c r="P42" s="186">
        <f>O42-(O42*M42/100)</f>
        <v>4803.6491999999998</v>
      </c>
      <c r="Q42" s="186">
        <f t="shared" si="8"/>
        <v>5871.1268</v>
      </c>
      <c r="R42" s="186">
        <f t="shared" si="8"/>
        <v>5284.0141199999998</v>
      </c>
      <c r="S42" s="188">
        <v>0</v>
      </c>
      <c r="T42" s="189" t="s">
        <v>174</v>
      </c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</row>
    <row r="43" spans="1:49" ht="14" x14ac:dyDescent="0.15">
      <c r="A43" s="234" t="str">
        <f>'SA Apr 2016'!K29</f>
        <v>Simply Energy</v>
      </c>
      <c r="B43" s="180" t="str">
        <f>'SA Apr 2016'!L29</f>
        <v>Guaranteed</v>
      </c>
      <c r="C43" s="181">
        <f>91*'SA Apr 2016'!M29/100</f>
        <v>69.760599999999997</v>
      </c>
      <c r="D43" s="181">
        <f>IF(($C$26*$C$27)&gt;='SA Apr 2016'!P29,('SA Apr 2016'!P29*'SA Apr 2016'!N29/100),(('SA Bills April 2016'!$C$26*'SA Bills April 2016'!$C$27)*'SA Apr 2016'!N29/100))</f>
        <v>828.25</v>
      </c>
      <c r="E43" s="181">
        <v>0</v>
      </c>
      <c r="F43" s="181">
        <f>IF($C$26*$C$27&lt;'SA Apr 2016'!P29,(0),((('SA Bills April 2016'!$C$26*'SA Bills April 2016'!$C$27)-('SA Apr 2016'!P29))*'SA Apr 2016'!Q29/100))</f>
        <v>344.7</v>
      </c>
      <c r="G43" s="181">
        <f>($C$26*$C$28)*'SA Apr 2016'!AF29/100</f>
        <v>262.05</v>
      </c>
      <c r="H43" s="240">
        <v>0</v>
      </c>
      <c r="I43" s="185">
        <f t="shared" si="6"/>
        <v>1504.7605999999998</v>
      </c>
      <c r="J43" s="186">
        <f t="shared" si="7"/>
        <v>6019.0423999999994</v>
      </c>
      <c r="K43" s="187">
        <v>0</v>
      </c>
      <c r="L43" s="187">
        <f>'SA Apr 2016'!AZ29</f>
        <v>0</v>
      </c>
      <c r="M43" s="187">
        <f>'SA Apr 2016'!BA29</f>
        <v>0</v>
      </c>
      <c r="N43" s="187">
        <f>'SA Apr 2016'!BB29</f>
        <v>19</v>
      </c>
      <c r="O43" s="186">
        <f>J43</f>
        <v>6019.0423999999994</v>
      </c>
      <c r="P43" s="186">
        <f>O43-((I43-C43)*N43/100)*4</f>
        <v>4928.4423999999999</v>
      </c>
      <c r="Q43" s="186">
        <f t="shared" si="8"/>
        <v>6620.9466400000001</v>
      </c>
      <c r="R43" s="186">
        <f t="shared" si="8"/>
        <v>5421.2866400000003</v>
      </c>
      <c r="S43" s="188">
        <v>24</v>
      </c>
      <c r="T43" s="189" t="s">
        <v>175</v>
      </c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</row>
    <row r="44" spans="1:49" s="256" customFormat="1" ht="15" thickBot="1" x14ac:dyDescent="0.2">
      <c r="A44" s="235" t="str">
        <f>'SA Apr 2016'!K30</f>
        <v>Urth Energy</v>
      </c>
      <c r="B44" s="207" t="str">
        <f>'SA Apr 2016'!L30</f>
        <v>Market offer</v>
      </c>
      <c r="C44" s="193">
        <f>91*'SA Apr 2016'!M30/100</f>
        <v>63.7</v>
      </c>
      <c r="D44" s="193">
        <f>IF(($C$26*$C$27)&gt;='SA Apr 2016'!P30,('SA Apr 2016'!P30*'SA Apr 2016'!N30/100),(('SA Bills April 2016'!$C$26*'SA Bills April 2016'!$C$27)*'SA Apr 2016'!N30/100))</f>
        <v>737.5</v>
      </c>
      <c r="E44" s="193">
        <v>0</v>
      </c>
      <c r="F44" s="193">
        <f>IF($C$26*$C$27&lt;'SA Apr 2016'!P30,(0),((('SA Bills April 2016'!$C$26*'SA Bills April 2016'!$C$27)-('SA Apr 2016'!P30))*'SA Apr 2016'!Q30/100))</f>
        <v>335</v>
      </c>
      <c r="G44" s="193">
        <f>($C$26*$C$28)*'SA Apr 2016'!AF30/100</f>
        <v>195</v>
      </c>
      <c r="H44" s="259">
        <v>0</v>
      </c>
      <c r="I44" s="195">
        <f t="shared" si="6"/>
        <v>1331.2</v>
      </c>
      <c r="J44" s="196">
        <f t="shared" si="7"/>
        <v>5324.8</v>
      </c>
      <c r="K44" s="197">
        <v>0</v>
      </c>
      <c r="L44" s="197">
        <f>'SA Apr 2016'!AZ30</f>
        <v>0</v>
      </c>
      <c r="M44" s="197">
        <f>'SA Apr 2016'!BA30</f>
        <v>0</v>
      </c>
      <c r="N44" s="197">
        <f>'SA Apr 2016'!BB30</f>
        <v>10</v>
      </c>
      <c r="O44" s="196">
        <f>J44</f>
        <v>5324.8</v>
      </c>
      <c r="P44" s="196">
        <f>O44-((I44-C44)*N44/100)*4</f>
        <v>4817.8</v>
      </c>
      <c r="Q44" s="196">
        <f t="shared" si="8"/>
        <v>5857.2800000000007</v>
      </c>
      <c r="R44" s="196">
        <f t="shared" si="8"/>
        <v>5299.5800000000008</v>
      </c>
      <c r="S44" s="198">
        <v>24</v>
      </c>
      <c r="T44" s="199" t="s">
        <v>175</v>
      </c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</row>
    <row r="45" spans="1:49" ht="14" x14ac:dyDescent="0.1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</row>
    <row r="46" spans="1:49" ht="15" thickBot="1" x14ac:dyDescent="0.2">
      <c r="A46" s="252"/>
      <c r="B46" s="252"/>
      <c r="C46" s="252"/>
      <c r="D46" s="252"/>
      <c r="E46" s="252"/>
      <c r="F46" s="254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4"/>
      <c r="R46" s="254"/>
      <c r="S46" s="254"/>
      <c r="T46" s="254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</row>
    <row r="47" spans="1:49" ht="14" x14ac:dyDescent="0.15">
      <c r="A47" s="165" t="s">
        <v>176</v>
      </c>
      <c r="B47" s="166"/>
      <c r="C47" s="166"/>
      <c r="D47" s="166"/>
      <c r="E47" s="166"/>
      <c r="F47" s="211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34"/>
      <c r="R47" s="134"/>
      <c r="S47" s="134"/>
      <c r="T47" s="168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</row>
    <row r="48" spans="1:49" ht="14" x14ac:dyDescent="0.15">
      <c r="A48" s="169" t="s">
        <v>197</v>
      </c>
      <c r="B48" s="134"/>
      <c r="C48" s="170">
        <v>5000</v>
      </c>
      <c r="D48" s="134"/>
      <c r="E48" s="134"/>
      <c r="F48" s="211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7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</row>
    <row r="49" spans="1:49" ht="14" x14ac:dyDescent="0.15">
      <c r="A49" s="169" t="s">
        <v>85</v>
      </c>
      <c r="B49" s="134"/>
      <c r="C49" s="206">
        <v>0.7</v>
      </c>
      <c r="D49" s="134"/>
      <c r="E49" s="134"/>
      <c r="F49" s="211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7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  <c r="AU49" s="252"/>
      <c r="AV49" s="252"/>
      <c r="AW49" s="252"/>
    </row>
    <row r="50" spans="1:49" ht="14" x14ac:dyDescent="0.15">
      <c r="A50" s="169" t="s">
        <v>172</v>
      </c>
      <c r="B50" s="134"/>
      <c r="C50" s="206">
        <v>0.3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</row>
    <row r="51" spans="1:49" ht="14" x14ac:dyDescent="0.15">
      <c r="A51" s="169"/>
      <c r="B51" s="134"/>
      <c r="C51" s="134"/>
      <c r="D51" s="134"/>
      <c r="E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</row>
    <row r="52" spans="1:49" ht="75" x14ac:dyDescent="0.15">
      <c r="A52" s="230" t="s">
        <v>216</v>
      </c>
      <c r="B52" s="231" t="s">
        <v>198</v>
      </c>
      <c r="C52" s="173" t="s">
        <v>199</v>
      </c>
      <c r="D52" s="173" t="s">
        <v>200</v>
      </c>
      <c r="E52" s="173" t="s">
        <v>201</v>
      </c>
      <c r="F52" s="173" t="s">
        <v>202</v>
      </c>
      <c r="G52" s="173" t="s">
        <v>164</v>
      </c>
      <c r="H52" s="173" t="s">
        <v>173</v>
      </c>
      <c r="I52" s="173" t="s">
        <v>165</v>
      </c>
      <c r="J52" s="174" t="s">
        <v>166</v>
      </c>
      <c r="K52" s="175" t="s">
        <v>167</v>
      </c>
      <c r="L52" s="175" t="s">
        <v>168</v>
      </c>
      <c r="M52" s="175" t="s">
        <v>169</v>
      </c>
      <c r="N52" s="175" t="s">
        <v>170</v>
      </c>
      <c r="O52" s="176" t="s">
        <v>579</v>
      </c>
      <c r="P52" s="176" t="s">
        <v>580</v>
      </c>
      <c r="Q52" s="176" t="s">
        <v>227</v>
      </c>
      <c r="R52" s="176" t="s">
        <v>272</v>
      </c>
      <c r="S52" s="175" t="s">
        <v>82</v>
      </c>
      <c r="T52" s="177" t="s">
        <v>83</v>
      </c>
      <c r="U52" s="252"/>
      <c r="V52" s="255"/>
      <c r="W52" s="252"/>
      <c r="X52" s="255"/>
      <c r="Y52" s="252"/>
      <c r="Z52" s="255"/>
      <c r="AA52" s="252"/>
      <c r="AB52" s="255"/>
      <c r="AC52" s="252"/>
      <c r="AD52" s="255"/>
      <c r="AE52" s="252"/>
      <c r="AF52" s="255"/>
      <c r="AG52" s="252"/>
      <c r="AH52" s="255"/>
      <c r="AI52" s="252"/>
      <c r="AJ52" s="255"/>
      <c r="AK52" s="252"/>
      <c r="AL52" s="255"/>
      <c r="AM52" s="252"/>
      <c r="AN52" s="255"/>
      <c r="AO52" s="252"/>
      <c r="AP52" s="255"/>
      <c r="AQ52" s="252"/>
      <c r="AR52" s="255"/>
      <c r="AS52" s="252"/>
      <c r="AT52" s="255"/>
      <c r="AU52" s="252"/>
      <c r="AV52" s="255"/>
      <c r="AW52" s="252"/>
    </row>
    <row r="53" spans="1:49" ht="14" x14ac:dyDescent="0.15">
      <c r="A53" s="234" t="str">
        <f>'SA Apr 2016'!K31</f>
        <v>AGL</v>
      </c>
      <c r="B53" s="180" t="str">
        <f>'SA Apr 2016'!L31</f>
        <v xml:space="preserve">Business Savers </v>
      </c>
      <c r="C53" s="181">
        <f>91*'SA Apr 2016'!M31/100</f>
        <v>61.943699999999993</v>
      </c>
      <c r="D53" s="243">
        <f>($C$48*$C$49)*'SA Apr 2016'!N31/100</f>
        <v>1239</v>
      </c>
      <c r="E53" s="181">
        <v>0</v>
      </c>
      <c r="F53" s="181">
        <v>0</v>
      </c>
      <c r="G53" s="181">
        <v>0</v>
      </c>
      <c r="H53" s="181">
        <f>($C$48*$C$50)*'SA Apr 2016'!W31/100</f>
        <v>287.10000000000002</v>
      </c>
      <c r="I53" s="185">
        <f>SUM(C53:H53)</f>
        <v>1588.0437000000002</v>
      </c>
      <c r="J53" s="186">
        <f>I53*4</f>
        <v>6352.1748000000007</v>
      </c>
      <c r="K53" s="187">
        <v>0</v>
      </c>
      <c r="L53" s="187">
        <f>'SA Apr 2016'!AZ31</f>
        <v>15</v>
      </c>
      <c r="M53" s="187">
        <f>'SA Apr 2016'!BA31</f>
        <v>0</v>
      </c>
      <c r="N53" s="187">
        <f>'SA Apr 2016'!BB31</f>
        <v>0</v>
      </c>
      <c r="O53" s="186">
        <f>J53-((I53-C53)*L53/100)*4</f>
        <v>5436.5148000000008</v>
      </c>
      <c r="P53" s="186">
        <f>O53</f>
        <v>5436.5148000000008</v>
      </c>
      <c r="Q53" s="186">
        <f>O53*1.1</f>
        <v>5980.1662800000013</v>
      </c>
      <c r="R53" s="186">
        <f>P53*1.1</f>
        <v>5980.1662800000013</v>
      </c>
      <c r="S53" s="188">
        <f>'SA Apr 2016'!BI31</f>
        <v>0</v>
      </c>
      <c r="T53" s="189" t="str">
        <f>'SA Apr 2016'!BJ31</f>
        <v>n</v>
      </c>
      <c r="U53" s="252"/>
      <c r="V53" s="255"/>
      <c r="W53" s="252"/>
      <c r="X53" s="255"/>
      <c r="Y53" s="252"/>
      <c r="Z53" s="255"/>
      <c r="AA53" s="252"/>
      <c r="AB53" s="255"/>
      <c r="AC53" s="252"/>
      <c r="AD53" s="255"/>
      <c r="AE53" s="252"/>
      <c r="AF53" s="255"/>
      <c r="AG53" s="252"/>
      <c r="AH53" s="255"/>
      <c r="AI53" s="252"/>
      <c r="AJ53" s="255"/>
      <c r="AK53" s="252"/>
      <c r="AL53" s="255"/>
      <c r="AM53" s="252"/>
      <c r="AN53" s="255"/>
      <c r="AO53" s="252"/>
      <c r="AP53" s="255"/>
      <c r="AQ53" s="252"/>
      <c r="AR53" s="255"/>
      <c r="AS53" s="252"/>
      <c r="AT53" s="255"/>
      <c r="AU53" s="252"/>
      <c r="AV53" s="255"/>
      <c r="AW53" s="252"/>
    </row>
    <row r="54" spans="1:49" s="256" customFormat="1" ht="14" x14ac:dyDescent="0.15">
      <c r="A54" s="234" t="str">
        <f>'SA Apr 2016'!K32</f>
        <v>Alinta Energy</v>
      </c>
      <c r="B54" s="180" t="str">
        <f>'SA Apr 2016'!L32</f>
        <v>Fair Go Business</v>
      </c>
      <c r="C54" s="181">
        <f>91*'SA Apr 2016'!M32/100</f>
        <v>65.137799999999999</v>
      </c>
      <c r="D54" s="243">
        <f>($C$48*$C$49)*'SA Apr 2016'!N32/100</f>
        <v>1231.6499999999999</v>
      </c>
      <c r="E54" s="181">
        <v>0</v>
      </c>
      <c r="F54" s="181">
        <v>0</v>
      </c>
      <c r="G54" s="181">
        <v>0</v>
      </c>
      <c r="H54" s="181">
        <f>($C$48*$C$50)*'SA Apr 2016'!W32/100</f>
        <v>310.35000000000002</v>
      </c>
      <c r="I54" s="185">
        <f t="shared" ref="I54:I67" si="12">SUM(C54:H54)</f>
        <v>1607.1378</v>
      </c>
      <c r="J54" s="186">
        <f t="shared" ref="J54:J67" si="13">I54*4</f>
        <v>6428.5511999999999</v>
      </c>
      <c r="K54" s="187">
        <v>0</v>
      </c>
      <c r="L54" s="187">
        <f>'SA Apr 2016'!AZ32</f>
        <v>0</v>
      </c>
      <c r="M54" s="187">
        <f>'SA Apr 2016'!BA32</f>
        <v>0</v>
      </c>
      <c r="N54" s="187">
        <f>'SA Apr 2016'!BB32</f>
        <v>25</v>
      </c>
      <c r="O54" s="186">
        <f>J54</f>
        <v>6428.5511999999999</v>
      </c>
      <c r="P54" s="186">
        <f>O54-((I54-C54)*N54/100)*4</f>
        <v>4886.5511999999999</v>
      </c>
      <c r="Q54" s="186">
        <f t="shared" ref="Q54:R67" si="14">O54*1.1</f>
        <v>7071.4063200000001</v>
      </c>
      <c r="R54" s="186">
        <f t="shared" si="14"/>
        <v>5375.2063200000002</v>
      </c>
      <c r="S54" s="188">
        <f>'SA Apr 2016'!BI32</f>
        <v>0</v>
      </c>
      <c r="T54" s="189" t="str">
        <f>'SA Apr 2016'!BJ32</f>
        <v>n</v>
      </c>
      <c r="U54" s="252"/>
      <c r="V54" s="255"/>
      <c r="W54" s="252"/>
      <c r="X54" s="255"/>
      <c r="Y54" s="252"/>
      <c r="Z54" s="255"/>
      <c r="AA54" s="252"/>
      <c r="AB54" s="255"/>
      <c r="AC54" s="252"/>
      <c r="AD54" s="255"/>
      <c r="AE54" s="252"/>
      <c r="AF54" s="255"/>
      <c r="AG54" s="252"/>
      <c r="AH54" s="255"/>
      <c r="AI54" s="252"/>
      <c r="AJ54" s="255"/>
      <c r="AK54" s="252"/>
      <c r="AL54" s="255"/>
      <c r="AM54" s="252"/>
      <c r="AN54" s="255"/>
      <c r="AO54" s="252"/>
      <c r="AP54" s="255"/>
      <c r="AQ54" s="252"/>
      <c r="AR54" s="255"/>
      <c r="AS54" s="252"/>
      <c r="AT54" s="255"/>
      <c r="AU54" s="252"/>
      <c r="AV54" s="255"/>
      <c r="AW54" s="252"/>
    </row>
    <row r="55" spans="1:49" ht="14" x14ac:dyDescent="0.15">
      <c r="A55" s="234" t="str">
        <f>'SA Apr 2016'!K33</f>
        <v>Click Energy</v>
      </c>
      <c r="B55" s="180" t="str">
        <f>'SA Apr 2016'!L33</f>
        <v>Click Business</v>
      </c>
      <c r="C55" s="181">
        <f>91*'SA Apr 2016'!M33/100</f>
        <v>80.08</v>
      </c>
      <c r="D55" s="243">
        <f>($C$48*$C$49)*'SA Apr 2016'!N33/100</f>
        <v>1239</v>
      </c>
      <c r="E55" s="181">
        <v>0</v>
      </c>
      <c r="F55" s="181">
        <v>0</v>
      </c>
      <c r="G55" s="181">
        <v>0</v>
      </c>
      <c r="H55" s="181">
        <f>($C$48*$C$50)*'SA Apr 2016'!W33/100</f>
        <v>360</v>
      </c>
      <c r="I55" s="185">
        <f t="shared" si="12"/>
        <v>1679.08</v>
      </c>
      <c r="J55" s="186">
        <f t="shared" si="13"/>
        <v>6716.32</v>
      </c>
      <c r="K55" s="187">
        <v>0</v>
      </c>
      <c r="L55" s="187">
        <f>'SA Apr 2016'!AZ33</f>
        <v>0</v>
      </c>
      <c r="M55" s="187">
        <f>'SA Apr 2016'!BA33</f>
        <v>7</v>
      </c>
      <c r="N55" s="187">
        <f>'SA Apr 2016'!BB33</f>
        <v>0</v>
      </c>
      <c r="O55" s="186">
        <f>J55</f>
        <v>6716.32</v>
      </c>
      <c r="P55" s="186">
        <f>O55-(O55*M55/100)</f>
        <v>6246.1776</v>
      </c>
      <c r="Q55" s="186">
        <f t="shared" si="14"/>
        <v>7387.9520000000002</v>
      </c>
      <c r="R55" s="186">
        <f t="shared" si="14"/>
        <v>6870.795360000001</v>
      </c>
      <c r="S55" s="188">
        <f>'SA Apr 2016'!BI33</f>
        <v>0</v>
      </c>
      <c r="T55" s="189" t="str">
        <f>'SA Apr 2016'!BJ33</f>
        <v>n</v>
      </c>
      <c r="U55" s="252"/>
      <c r="V55" s="255"/>
      <c r="W55" s="252"/>
      <c r="X55" s="255"/>
      <c r="Y55" s="252"/>
      <c r="Z55" s="255"/>
      <c r="AA55" s="252"/>
      <c r="AB55" s="255"/>
      <c r="AC55" s="252"/>
      <c r="AD55" s="255"/>
      <c r="AE55" s="252"/>
      <c r="AF55" s="255"/>
      <c r="AG55" s="252"/>
      <c r="AH55" s="255"/>
      <c r="AI55" s="252"/>
      <c r="AJ55" s="255"/>
      <c r="AK55" s="252"/>
      <c r="AL55" s="255"/>
      <c r="AM55" s="252"/>
      <c r="AN55" s="255"/>
      <c r="AO55" s="252"/>
      <c r="AP55" s="255"/>
      <c r="AQ55" s="252"/>
      <c r="AR55" s="255"/>
      <c r="AS55" s="252"/>
      <c r="AT55" s="255"/>
      <c r="AU55" s="252"/>
      <c r="AV55" s="255"/>
      <c r="AW55" s="252"/>
    </row>
    <row r="56" spans="1:49" s="256" customFormat="1" ht="14" x14ac:dyDescent="0.15">
      <c r="A56" s="234" t="str">
        <f>'SA Apr 2016'!K34</f>
        <v>Commander</v>
      </c>
      <c r="B56" s="180" t="str">
        <f>'SA Apr 2016'!L34</f>
        <v>Market offer</v>
      </c>
      <c r="C56" s="181">
        <f>91*'SA Apr 2016'!M34/100</f>
        <v>63.927500000000002</v>
      </c>
      <c r="D56" s="243">
        <f>($C$48*$C$49)*'SA Apr 2016'!N34/100</f>
        <v>1249.5000000000002</v>
      </c>
      <c r="E56" s="181">
        <v>0</v>
      </c>
      <c r="F56" s="181">
        <v>0</v>
      </c>
      <c r="G56" s="181">
        <v>0</v>
      </c>
      <c r="H56" s="181">
        <f>($C$48*$C$50)*'SA Apr 2016'!W34/100</f>
        <v>284.84999999999997</v>
      </c>
      <c r="I56" s="185">
        <f t="shared" si="12"/>
        <v>1598.2775000000001</v>
      </c>
      <c r="J56" s="186">
        <f t="shared" si="13"/>
        <v>6393.1100000000006</v>
      </c>
      <c r="K56" s="187">
        <v>0</v>
      </c>
      <c r="L56" s="187">
        <f>'SA Apr 2016'!AZ34</f>
        <v>0</v>
      </c>
      <c r="M56" s="187">
        <f>'SA Apr 2016'!BA34</f>
        <v>0</v>
      </c>
      <c r="N56" s="187">
        <f>'SA Apr 2016'!BB34</f>
        <v>20</v>
      </c>
      <c r="O56" s="186">
        <f>J56</f>
        <v>6393.1100000000006</v>
      </c>
      <c r="P56" s="186">
        <f>O56-((I56-C56)*N56/100)*4</f>
        <v>5165.63</v>
      </c>
      <c r="Q56" s="186">
        <f t="shared" si="14"/>
        <v>7032.4210000000012</v>
      </c>
      <c r="R56" s="186">
        <f t="shared" si="14"/>
        <v>5682.1930000000002</v>
      </c>
      <c r="S56" s="188">
        <f>'SA Apr 2016'!BI34</f>
        <v>0</v>
      </c>
      <c r="T56" s="189" t="str">
        <f>'SA Apr 2016'!BJ34</f>
        <v>n</v>
      </c>
      <c r="U56" s="252"/>
      <c r="V56" s="255"/>
      <c r="W56" s="252"/>
      <c r="X56" s="255"/>
      <c r="Y56" s="252"/>
      <c r="Z56" s="255"/>
      <c r="AA56" s="252"/>
      <c r="AB56" s="255"/>
      <c r="AC56" s="252"/>
      <c r="AD56" s="255"/>
      <c r="AE56" s="252"/>
      <c r="AF56" s="255"/>
      <c r="AG56" s="252"/>
      <c r="AH56" s="255"/>
      <c r="AI56" s="252"/>
      <c r="AJ56" s="255"/>
      <c r="AK56" s="252"/>
      <c r="AL56" s="255"/>
      <c r="AM56" s="252"/>
      <c r="AN56" s="255"/>
      <c r="AO56" s="252"/>
      <c r="AP56" s="255"/>
      <c r="AQ56" s="252"/>
      <c r="AR56" s="255"/>
      <c r="AS56" s="252"/>
      <c r="AT56" s="255"/>
      <c r="AU56" s="252"/>
      <c r="AV56" s="255"/>
      <c r="AW56" s="252"/>
    </row>
    <row r="57" spans="1:49" ht="14" x14ac:dyDescent="0.15">
      <c r="A57" s="234" t="str">
        <f>'SA Apr 2016'!K35</f>
        <v>Diamond Energy</v>
      </c>
      <c r="B57" s="180" t="str">
        <f>'SA Apr 2016'!L35</f>
        <v>Pay on time discount</v>
      </c>
      <c r="C57" s="181">
        <f>91*'SA Apr 2016'!M35/100</f>
        <v>72.617999999999995</v>
      </c>
      <c r="D57" s="243">
        <f>IF(C48*C49&gt;='SA Apr 2016'!P35,('SA Apr 2016'!P35*'SA Apr 2016'!N35/100),((C48*C49)*'SA Apr 2016'!N35/100))</f>
        <v>773.75</v>
      </c>
      <c r="E57" s="181">
        <f>IF($C48*C49&lt;'SA Apr 2016'!P35,0,IF(($C48*C49-'SA Apr 2016'!P35)&lt;'SA Apr 2016'!R35,(($C48*C49-'SA Apr 2016'!P35)*'SA Apr 2016'!Q35/100),(('SA Apr 2016'!R35-'SA Apr 2016'!P35)*'SA Apr 2016'!Q35/100)))</f>
        <v>312.5</v>
      </c>
      <c r="F57" s="181">
        <v>0</v>
      </c>
      <c r="G57" s="181">
        <f>IF($C$48*$C$49&lt;'SA Apr 2016'!R35,(0),((('SA Bills April 2016'!$C$48*'SA Bills April 2016'!$C$49)-('SA Apr 2016'!R35))*'SA Apr 2016'!S35/100))</f>
        <v>0</v>
      </c>
      <c r="H57" s="181">
        <f>($C$48*$C$50)*'SA Apr 2016'!W35/100</f>
        <v>251.25</v>
      </c>
      <c r="I57" s="185">
        <f t="shared" si="12"/>
        <v>1410.1179999999999</v>
      </c>
      <c r="J57" s="186">
        <f t="shared" si="13"/>
        <v>5640.4719999999998</v>
      </c>
      <c r="K57" s="187">
        <v>0</v>
      </c>
      <c r="L57" s="187">
        <f>'SA Apr 2016'!AZ35</f>
        <v>0</v>
      </c>
      <c r="M57" s="187">
        <f>'SA Apr 2016'!BA35</f>
        <v>3</v>
      </c>
      <c r="N57" s="187">
        <f>'SA Apr 2016'!BB35</f>
        <v>0</v>
      </c>
      <c r="O57" s="186">
        <f>J57</f>
        <v>5640.4719999999998</v>
      </c>
      <c r="P57" s="186">
        <f>O57-(O57*M57/100)</f>
        <v>5471.2578400000002</v>
      </c>
      <c r="Q57" s="186">
        <f t="shared" si="14"/>
        <v>6204.5192000000006</v>
      </c>
      <c r="R57" s="186">
        <f t="shared" si="14"/>
        <v>6018.383624000001</v>
      </c>
      <c r="S57" s="188">
        <f>'SA Apr 2016'!BI35</f>
        <v>24</v>
      </c>
      <c r="T57" s="189" t="str">
        <f>'SA Apr 2016'!BJ35</f>
        <v>y</v>
      </c>
      <c r="U57" s="252"/>
      <c r="V57" s="255"/>
      <c r="W57" s="252"/>
      <c r="X57" s="255"/>
      <c r="Y57" s="252"/>
      <c r="Z57" s="255"/>
      <c r="AA57" s="252"/>
      <c r="AB57" s="255"/>
      <c r="AC57" s="252"/>
      <c r="AD57" s="255"/>
      <c r="AE57" s="252"/>
      <c r="AF57" s="255"/>
      <c r="AG57" s="252"/>
      <c r="AH57" s="255"/>
      <c r="AI57" s="252"/>
      <c r="AJ57" s="255"/>
      <c r="AK57" s="252"/>
      <c r="AL57" s="255"/>
      <c r="AM57" s="252"/>
      <c r="AN57" s="255"/>
      <c r="AO57" s="252"/>
      <c r="AP57" s="255"/>
      <c r="AQ57" s="252"/>
      <c r="AR57" s="255"/>
      <c r="AS57" s="252"/>
      <c r="AT57" s="255"/>
      <c r="AU57" s="252"/>
      <c r="AV57" s="255"/>
      <c r="AW57" s="252"/>
    </row>
    <row r="58" spans="1:49" s="256" customFormat="1" ht="14" x14ac:dyDescent="0.15">
      <c r="A58" s="234" t="str">
        <f>'SA Apr 2016'!K36</f>
        <v>EnergyAustralia</v>
      </c>
      <c r="B58" s="180" t="str">
        <f>'SA Apr 2016'!L36</f>
        <v>Everyday Saver Business</v>
      </c>
      <c r="C58" s="181">
        <f>91*'SA Apr 2016'!M36/100</f>
        <v>68.795999999999992</v>
      </c>
      <c r="D58" s="243">
        <f>($C$48*$C$49)*'SA Apr 2016'!N36/100</f>
        <v>1343.72</v>
      </c>
      <c r="E58" s="181">
        <v>0</v>
      </c>
      <c r="F58" s="181">
        <v>0</v>
      </c>
      <c r="G58" s="181">
        <v>0</v>
      </c>
      <c r="H58" s="181">
        <f>($C$48*$C$50)*'SA Apr 2016'!W36/100</f>
        <v>282.89999999999998</v>
      </c>
      <c r="I58" s="185">
        <f t="shared" si="12"/>
        <v>1695.4160000000002</v>
      </c>
      <c r="J58" s="186">
        <f t="shared" si="13"/>
        <v>6781.6640000000007</v>
      </c>
      <c r="K58" s="187">
        <v>0</v>
      </c>
      <c r="L58" s="187">
        <f>'SA Apr 2016'!AZ36</f>
        <v>21</v>
      </c>
      <c r="M58" s="187">
        <f>'SA Apr 2016'!BA36</f>
        <v>0</v>
      </c>
      <c r="N58" s="187">
        <f>'SA Apr 2016'!BB36</f>
        <v>0</v>
      </c>
      <c r="O58" s="186">
        <f>J58-((I58-C58)*L58/100)*4</f>
        <v>5415.3032000000003</v>
      </c>
      <c r="P58" s="186">
        <f>O58</f>
        <v>5415.3032000000003</v>
      </c>
      <c r="Q58" s="186">
        <f t="shared" si="14"/>
        <v>5956.833520000001</v>
      </c>
      <c r="R58" s="186">
        <f t="shared" si="14"/>
        <v>5956.833520000001</v>
      </c>
      <c r="S58" s="188">
        <f>'SA Apr 2016'!BI36</f>
        <v>24</v>
      </c>
      <c r="T58" s="189" t="str">
        <f>'SA Apr 2016'!BJ36</f>
        <v>y</v>
      </c>
      <c r="U58" s="252"/>
      <c r="V58" s="255"/>
      <c r="W58" s="252"/>
      <c r="X58" s="255"/>
      <c r="Y58" s="252"/>
      <c r="Z58" s="255"/>
      <c r="AA58" s="252"/>
      <c r="AB58" s="255"/>
      <c r="AC58" s="252"/>
      <c r="AD58" s="255"/>
      <c r="AE58" s="252"/>
      <c r="AF58" s="255"/>
      <c r="AG58" s="252"/>
      <c r="AH58" s="255"/>
      <c r="AI58" s="252"/>
      <c r="AJ58" s="255"/>
      <c r="AK58" s="252"/>
      <c r="AL58" s="255"/>
      <c r="AM58" s="252"/>
      <c r="AN58" s="255"/>
      <c r="AO58" s="252"/>
      <c r="AP58" s="255"/>
      <c r="AQ58" s="252"/>
      <c r="AR58" s="255"/>
      <c r="AS58" s="252"/>
      <c r="AT58" s="255"/>
      <c r="AU58" s="252"/>
      <c r="AV58" s="255"/>
      <c r="AW58" s="252"/>
    </row>
    <row r="59" spans="1:49" ht="14" x14ac:dyDescent="0.15">
      <c r="A59" s="234" t="str">
        <f>'SA Apr 2016'!K37</f>
        <v>ERM Power</v>
      </c>
      <c r="B59" s="180" t="str">
        <f>'SA Apr 2016'!L37</f>
        <v>Adjustable</v>
      </c>
      <c r="C59" s="181">
        <f>91*'SA Apr 2016'!M37/100</f>
        <v>90.09</v>
      </c>
      <c r="D59" s="243">
        <f>($C$48*$C$49)*'SA Apr 2016'!N37/100</f>
        <v>1331.05</v>
      </c>
      <c r="E59" s="181">
        <v>0</v>
      </c>
      <c r="F59" s="181">
        <v>0</v>
      </c>
      <c r="G59" s="181">
        <v>0</v>
      </c>
      <c r="H59" s="181">
        <f>($C$48*$C$50)*'SA Apr 2016'!W37/100</f>
        <v>293.85000000000002</v>
      </c>
      <c r="I59" s="185">
        <f t="shared" si="12"/>
        <v>1714.9899999999998</v>
      </c>
      <c r="J59" s="186">
        <f t="shared" si="13"/>
        <v>6859.9599999999991</v>
      </c>
      <c r="K59" s="187">
        <v>0</v>
      </c>
      <c r="L59" s="187">
        <f>'SA Apr 2016'!AZ37</f>
        <v>0</v>
      </c>
      <c r="M59" s="187">
        <f>'SA Apr 2016'!BA37</f>
        <v>0</v>
      </c>
      <c r="N59" s="187">
        <f>'SA Apr 2016'!BB37</f>
        <v>0</v>
      </c>
      <c r="O59" s="186">
        <f>J59</f>
        <v>6859.9599999999991</v>
      </c>
      <c r="P59" s="186">
        <f>O59</f>
        <v>6859.9599999999991</v>
      </c>
      <c r="Q59" s="186">
        <f t="shared" si="14"/>
        <v>7545.9559999999992</v>
      </c>
      <c r="R59" s="186">
        <f t="shared" si="14"/>
        <v>7545.9559999999992</v>
      </c>
      <c r="S59" s="188">
        <f>'SA Apr 2016'!BI37</f>
        <v>0</v>
      </c>
      <c r="T59" s="189" t="str">
        <f>'SA Apr 2016'!BJ37</f>
        <v>n</v>
      </c>
      <c r="U59" s="252"/>
      <c r="V59" s="255"/>
      <c r="W59" s="252"/>
      <c r="X59" s="255"/>
      <c r="Y59" s="252"/>
      <c r="Z59" s="255"/>
      <c r="AA59" s="252"/>
      <c r="AB59" s="255"/>
      <c r="AC59" s="252"/>
      <c r="AD59" s="255"/>
      <c r="AE59" s="252"/>
      <c r="AF59" s="255"/>
      <c r="AG59" s="252"/>
      <c r="AH59" s="255"/>
      <c r="AI59" s="252"/>
      <c r="AJ59" s="255"/>
      <c r="AK59" s="252"/>
      <c r="AL59" s="255"/>
      <c r="AM59" s="252"/>
      <c r="AN59" s="255"/>
      <c r="AO59" s="252"/>
      <c r="AP59" s="255"/>
      <c r="AQ59" s="252"/>
      <c r="AR59" s="255"/>
      <c r="AS59" s="252"/>
      <c r="AT59" s="255"/>
      <c r="AU59" s="252"/>
      <c r="AV59" s="255"/>
      <c r="AW59" s="252"/>
    </row>
    <row r="60" spans="1:49" s="256" customFormat="1" ht="14" x14ac:dyDescent="0.15">
      <c r="A60" s="234" t="str">
        <f>'SA Apr 2016'!K38</f>
        <v>Lumo Energy</v>
      </c>
      <c r="B60" s="180" t="str">
        <f>'SA Apr 2016'!L38</f>
        <v>Business Premium</v>
      </c>
      <c r="C60" s="181">
        <f>91*'SA Apr 2016'!M38/100</f>
        <v>69.1327</v>
      </c>
      <c r="D60" s="243">
        <f>IF($C$48*$C$49&gt;='SA Apr 2016'!P38,('SA Apr 2016'!P38*'SA Apr 2016'!N38/100),(($C$48*$C$49)*'SA Apr 2016'!N38/100))</f>
        <v>1014.3</v>
      </c>
      <c r="E60" s="181">
        <v>0</v>
      </c>
      <c r="F60" s="181">
        <v>0</v>
      </c>
      <c r="G60" s="181">
        <f>IF(($C$48*$C$49&lt;'SA Apr 2016'!P38),(0),(($C$48*$C$49)-'SA Apr 2016'!P38))*'SA Apr 2016'!Q38/100</f>
        <v>0</v>
      </c>
      <c r="H60" s="181">
        <f>($C$48*$C$50)*'SA Apr 2016'!W38/100</f>
        <v>219.9</v>
      </c>
      <c r="I60" s="185">
        <f t="shared" si="12"/>
        <v>1303.3326999999999</v>
      </c>
      <c r="J60" s="186">
        <f t="shared" si="13"/>
        <v>5213.3307999999997</v>
      </c>
      <c r="K60" s="187">
        <v>0</v>
      </c>
      <c r="L60" s="187">
        <f>'SA Apr 2016'!AZ38</f>
        <v>0</v>
      </c>
      <c r="M60" s="187">
        <f>'SA Apr 2016'!BA38</f>
        <v>0</v>
      </c>
      <c r="N60" s="187">
        <f>'SA Apr 2016'!BB38</f>
        <v>0</v>
      </c>
      <c r="O60" s="186">
        <f t="shared" ref="O60:O61" si="15">J60</f>
        <v>5213.3307999999997</v>
      </c>
      <c r="P60" s="186">
        <f t="shared" ref="P60:P64" si="16">O60</f>
        <v>5213.3307999999997</v>
      </c>
      <c r="Q60" s="186">
        <f t="shared" si="14"/>
        <v>5734.6638800000001</v>
      </c>
      <c r="R60" s="186">
        <f t="shared" si="14"/>
        <v>5734.6638800000001</v>
      </c>
      <c r="S60" s="188">
        <f>'SA Apr 2016'!BI38</f>
        <v>36</v>
      </c>
      <c r="T60" s="189" t="str">
        <f>'SA Apr 2016'!BJ38</f>
        <v>n</v>
      </c>
      <c r="U60" s="252"/>
      <c r="V60" s="255"/>
      <c r="W60" s="252"/>
      <c r="X60" s="255"/>
      <c r="Y60" s="252"/>
      <c r="Z60" s="255"/>
      <c r="AA60" s="252"/>
      <c r="AB60" s="255"/>
      <c r="AC60" s="252"/>
      <c r="AD60" s="255"/>
      <c r="AE60" s="252"/>
      <c r="AF60" s="255"/>
      <c r="AG60" s="252"/>
      <c r="AH60" s="255"/>
      <c r="AI60" s="252"/>
      <c r="AJ60" s="255"/>
      <c r="AK60" s="252"/>
      <c r="AL60" s="255"/>
      <c r="AM60" s="252"/>
      <c r="AN60" s="255"/>
      <c r="AO60" s="252"/>
      <c r="AP60" s="255"/>
      <c r="AQ60" s="252"/>
      <c r="AR60" s="255"/>
      <c r="AS60" s="252"/>
      <c r="AT60" s="255"/>
      <c r="AU60" s="252"/>
      <c r="AV60" s="255"/>
      <c r="AW60" s="252"/>
    </row>
    <row r="61" spans="1:49" ht="14" x14ac:dyDescent="0.15">
      <c r="A61" s="234" t="str">
        <f>'SA Apr 2016'!K39</f>
        <v>Momentum Energy</v>
      </c>
      <c r="B61" s="180" t="str">
        <f>'SA Apr 2016'!L39</f>
        <v>SmilePower</v>
      </c>
      <c r="C61" s="181">
        <f>91*'SA Apr 2016'!M39/100</f>
        <v>75.165999999999997</v>
      </c>
      <c r="D61" s="243">
        <f>IF($C$48*$C$49&gt;='SA Apr 2016'!P39,('SA Apr 2016'!P39*'SA Apr 2016'!N39/100),(($C$48*$C$49)*'SA Apr 2016'!N39/100))</f>
        <v>453.72</v>
      </c>
      <c r="E61" s="181">
        <v>0</v>
      </c>
      <c r="F61" s="181">
        <v>0</v>
      </c>
      <c r="G61" s="181">
        <f>IF(($C$48*$C$49&lt;'SA Apr 2016'!P39),(0),(($C$48*$C$49)-'SA Apr 2016'!P39))*'SA Apr 2016'!Q39/100</f>
        <v>787.75</v>
      </c>
      <c r="H61" s="181">
        <f>($C$48*$C$50)*'SA Apr 2016'!W39/100</f>
        <v>272.55</v>
      </c>
      <c r="I61" s="185">
        <f t="shared" si="12"/>
        <v>1589.1859999999999</v>
      </c>
      <c r="J61" s="186">
        <f t="shared" si="13"/>
        <v>6356.7439999999997</v>
      </c>
      <c r="K61" s="187">
        <v>0</v>
      </c>
      <c r="L61" s="187">
        <f>'SA Apr 2016'!AZ39</f>
        <v>0</v>
      </c>
      <c r="M61" s="187">
        <f>'SA Apr 2016'!BA39</f>
        <v>0</v>
      </c>
      <c r="N61" s="187">
        <f>'SA Apr 2016'!BB39</f>
        <v>0</v>
      </c>
      <c r="O61" s="186">
        <f t="shared" si="15"/>
        <v>6356.7439999999997</v>
      </c>
      <c r="P61" s="186">
        <f t="shared" si="16"/>
        <v>6356.7439999999997</v>
      </c>
      <c r="Q61" s="186">
        <f t="shared" si="14"/>
        <v>6992.4184000000005</v>
      </c>
      <c r="R61" s="186">
        <f t="shared" si="14"/>
        <v>6992.4184000000005</v>
      </c>
      <c r="S61" s="188">
        <f>'SA Apr 2016'!BI39</f>
        <v>12</v>
      </c>
      <c r="T61" s="189" t="str">
        <f>'SA Apr 2016'!BJ39</f>
        <v>y</v>
      </c>
      <c r="U61" s="252"/>
      <c r="V61" s="255"/>
      <c r="W61" s="252"/>
      <c r="X61" s="255"/>
      <c r="Y61" s="252"/>
      <c r="Z61" s="255"/>
      <c r="AA61" s="252"/>
      <c r="AB61" s="255"/>
      <c r="AC61" s="252"/>
      <c r="AD61" s="255"/>
      <c r="AE61" s="252"/>
      <c r="AF61" s="255"/>
      <c r="AG61" s="252"/>
      <c r="AH61" s="255"/>
      <c r="AI61" s="252"/>
      <c r="AJ61" s="255"/>
      <c r="AK61" s="252"/>
      <c r="AL61" s="255"/>
      <c r="AM61" s="252"/>
      <c r="AN61" s="255"/>
      <c r="AO61" s="252"/>
      <c r="AP61" s="255"/>
      <c r="AQ61" s="252"/>
      <c r="AR61" s="255"/>
      <c r="AS61" s="252"/>
      <c r="AT61" s="255"/>
      <c r="AU61" s="252"/>
      <c r="AV61" s="255"/>
      <c r="AW61" s="252"/>
    </row>
    <row r="62" spans="1:49" s="256" customFormat="1" ht="14" x14ac:dyDescent="0.15">
      <c r="A62" s="234" t="str">
        <f>'SA Apr 2016'!K40</f>
        <v>Origin Energy</v>
      </c>
      <c r="B62" s="180" t="str">
        <f>'SA Apr 2016'!L40</f>
        <v>Business Saver</v>
      </c>
      <c r="C62" s="181">
        <f>91*'SA Apr 2016'!M40/100</f>
        <v>64.100399999999993</v>
      </c>
      <c r="D62" s="243">
        <f>($C$48*$C$49)*'SA Apr 2016'!N40/100</f>
        <v>1251.5999999999999</v>
      </c>
      <c r="E62" s="181">
        <v>0</v>
      </c>
      <c r="F62" s="181">
        <v>0</v>
      </c>
      <c r="G62" s="181">
        <v>0</v>
      </c>
      <c r="H62" s="181">
        <f>($C$48*$C$50)*'SA Apr 2016'!W40/100</f>
        <v>284.25</v>
      </c>
      <c r="I62" s="185">
        <f t="shared" si="12"/>
        <v>1599.9503999999999</v>
      </c>
      <c r="J62" s="186">
        <f t="shared" si="13"/>
        <v>6399.8015999999998</v>
      </c>
      <c r="K62" s="187">
        <v>0</v>
      </c>
      <c r="L62" s="187">
        <f>'SA Apr 2016'!AZ40</f>
        <v>20</v>
      </c>
      <c r="M62" s="187">
        <f>'SA Apr 2016'!BA40</f>
        <v>0</v>
      </c>
      <c r="N62" s="187">
        <f>'SA Apr 2016'!BB40</f>
        <v>0</v>
      </c>
      <c r="O62" s="186">
        <f>J62-((I62-C62)*L62/100)*4</f>
        <v>5171.1215999999995</v>
      </c>
      <c r="P62" s="186">
        <f>O62</f>
        <v>5171.1215999999995</v>
      </c>
      <c r="Q62" s="186">
        <f t="shared" si="14"/>
        <v>5688.2337600000001</v>
      </c>
      <c r="R62" s="186">
        <f t="shared" si="14"/>
        <v>5688.2337600000001</v>
      </c>
      <c r="S62" s="188">
        <f>'SA Apr 2016'!BI40</f>
        <v>12</v>
      </c>
      <c r="T62" s="189" t="str">
        <f>'SA Apr 2016'!BJ40</f>
        <v>y</v>
      </c>
      <c r="U62" s="252"/>
      <c r="V62" s="255"/>
      <c r="W62" s="252"/>
      <c r="X62" s="255"/>
      <c r="Y62" s="252"/>
      <c r="Z62" s="255"/>
      <c r="AA62" s="252"/>
      <c r="AB62" s="255"/>
      <c r="AC62" s="252"/>
      <c r="AD62" s="255"/>
      <c r="AE62" s="252"/>
      <c r="AF62" s="255"/>
      <c r="AG62" s="252"/>
      <c r="AH62" s="255"/>
      <c r="AI62" s="252"/>
      <c r="AJ62" s="255"/>
      <c r="AK62" s="252"/>
      <c r="AL62" s="255"/>
      <c r="AM62" s="252"/>
      <c r="AN62" s="255"/>
      <c r="AO62" s="252"/>
      <c r="AP62" s="255"/>
      <c r="AQ62" s="252"/>
      <c r="AR62" s="255"/>
      <c r="AS62" s="252"/>
      <c r="AT62" s="255"/>
      <c r="AU62" s="252"/>
      <c r="AV62" s="255"/>
      <c r="AW62" s="252"/>
    </row>
    <row r="63" spans="1:49" ht="14" x14ac:dyDescent="0.15">
      <c r="A63" s="234" t="str">
        <f>'SA Apr 2016'!K41</f>
        <v>Pacific Hydro</v>
      </c>
      <c r="B63" s="180" t="str">
        <f>'SA Apr 2016'!L41</f>
        <v xml:space="preserve">Business Smart </v>
      </c>
      <c r="C63" s="181">
        <f>91*'SA Apr 2016'!M41/100</f>
        <v>67.303600000000003</v>
      </c>
      <c r="D63" s="243">
        <f>IF($C$48*$C$49&gt;='SA Apr 2016'!P41,('SA Apr 2016'!P41*'SA Apr 2016'!N41/100),(($C$48*$C$49)*'SA Apr 2016'!N41/100))</f>
        <v>1064.3499999999999</v>
      </c>
      <c r="E63" s="181">
        <v>0</v>
      </c>
      <c r="F63" s="181">
        <v>0</v>
      </c>
      <c r="G63" s="181">
        <f>IF(($C$48*$C$49&lt;'SA Apr 2016'!P41),(0),(($C$48*$C$49)-'SA Apr 2016'!P41))*'SA Apr 2016'!Q41/100</f>
        <v>0</v>
      </c>
      <c r="H63" s="181">
        <f>($C$48*$C$50)*'SA Apr 2016'!W41/100</f>
        <v>210.6</v>
      </c>
      <c r="I63" s="185">
        <f t="shared" si="12"/>
        <v>1342.2535999999998</v>
      </c>
      <c r="J63" s="186">
        <f t="shared" si="13"/>
        <v>5369.0143999999991</v>
      </c>
      <c r="K63" s="187">
        <v>0</v>
      </c>
      <c r="L63" s="187">
        <f>'SA Apr 2016'!AZ41</f>
        <v>0</v>
      </c>
      <c r="M63" s="187">
        <f>'SA Apr 2016'!BA41</f>
        <v>0</v>
      </c>
      <c r="N63" s="187">
        <f>'SA Apr 2016'!BB41</f>
        <v>0</v>
      </c>
      <c r="O63" s="186">
        <f t="shared" ref="O63:O64" si="17">J63</f>
        <v>5369.0143999999991</v>
      </c>
      <c r="P63" s="186">
        <f t="shared" si="16"/>
        <v>5369.0143999999991</v>
      </c>
      <c r="Q63" s="186">
        <f t="shared" si="14"/>
        <v>5905.9158399999997</v>
      </c>
      <c r="R63" s="186">
        <f t="shared" si="14"/>
        <v>5905.9158399999997</v>
      </c>
      <c r="S63" s="188">
        <f>'SA Apr 2016'!BI41</f>
        <v>0</v>
      </c>
      <c r="T63" s="189" t="str">
        <f>'SA Apr 2016'!BJ41</f>
        <v>n</v>
      </c>
      <c r="U63" s="252"/>
      <c r="V63" s="255"/>
      <c r="W63" s="252"/>
      <c r="X63" s="255"/>
      <c r="Y63" s="252"/>
      <c r="Z63" s="255"/>
      <c r="AA63" s="252"/>
      <c r="AB63" s="255"/>
      <c r="AC63" s="252"/>
      <c r="AD63" s="255"/>
      <c r="AE63" s="252"/>
      <c r="AF63" s="255"/>
      <c r="AG63" s="252"/>
      <c r="AH63" s="255"/>
      <c r="AI63" s="252"/>
      <c r="AJ63" s="255"/>
      <c r="AK63" s="252"/>
      <c r="AL63" s="255"/>
      <c r="AM63" s="252"/>
      <c r="AN63" s="255"/>
      <c r="AO63" s="252"/>
      <c r="AP63" s="255"/>
      <c r="AQ63" s="252"/>
      <c r="AR63" s="255"/>
      <c r="AS63" s="252"/>
      <c r="AT63" s="255"/>
      <c r="AU63" s="252"/>
      <c r="AV63" s="255"/>
      <c r="AW63" s="252"/>
    </row>
    <row r="64" spans="1:49" s="256" customFormat="1" ht="14" x14ac:dyDescent="0.15">
      <c r="A64" s="234" t="str">
        <f>'SA Apr 2016'!K42</f>
        <v>Powerdirect</v>
      </c>
      <c r="B64" s="180" t="str">
        <f>'SA Apr 2016'!L42</f>
        <v>Quarterly read</v>
      </c>
      <c r="C64" s="181">
        <f>91*'SA Apr 2016'!M42/100</f>
        <v>66.36630000000001</v>
      </c>
      <c r="D64" s="243">
        <f>($C$48*$C$49)*'SA Apr 2016'!N42/100</f>
        <v>1134.3499999999999</v>
      </c>
      <c r="E64" s="181">
        <v>0</v>
      </c>
      <c r="F64" s="181">
        <v>0</v>
      </c>
      <c r="G64" s="181">
        <v>0</v>
      </c>
      <c r="H64" s="181">
        <f>($C$48*$C$50)*'SA Apr 2016'!W42/100</f>
        <v>263.39999999999998</v>
      </c>
      <c r="I64" s="185">
        <f t="shared" si="12"/>
        <v>1464.1162999999997</v>
      </c>
      <c r="J64" s="186">
        <f t="shared" si="13"/>
        <v>5856.4651999999987</v>
      </c>
      <c r="K64" s="187">
        <v>0</v>
      </c>
      <c r="L64" s="187">
        <f>'SA Apr 2016'!AZ42</f>
        <v>0</v>
      </c>
      <c r="M64" s="187">
        <f>'SA Apr 2016'!BA42</f>
        <v>0</v>
      </c>
      <c r="N64" s="187">
        <f>'SA Apr 2016'!BB42</f>
        <v>0</v>
      </c>
      <c r="O64" s="186">
        <f t="shared" si="17"/>
        <v>5856.4651999999987</v>
      </c>
      <c r="P64" s="186">
        <f t="shared" si="16"/>
        <v>5856.4651999999987</v>
      </c>
      <c r="Q64" s="186">
        <f t="shared" si="14"/>
        <v>6442.111719999999</v>
      </c>
      <c r="R64" s="186">
        <f t="shared" si="14"/>
        <v>6442.111719999999</v>
      </c>
      <c r="S64" s="188">
        <f>'SA Apr 2016'!BI42</f>
        <v>0</v>
      </c>
      <c r="T64" s="189" t="str">
        <f>'SA Apr 2016'!BJ42</f>
        <v>n</v>
      </c>
      <c r="U64" s="252"/>
      <c r="V64" s="255"/>
      <c r="W64" s="252"/>
      <c r="X64" s="255"/>
      <c r="Y64" s="252"/>
      <c r="Z64" s="255"/>
      <c r="AA64" s="252"/>
      <c r="AB64" s="255"/>
      <c r="AC64" s="252"/>
      <c r="AD64" s="255"/>
      <c r="AE64" s="252"/>
      <c r="AF64" s="255"/>
      <c r="AG64" s="252"/>
      <c r="AH64" s="255"/>
      <c r="AI64" s="252"/>
      <c r="AJ64" s="255"/>
      <c r="AK64" s="252"/>
      <c r="AL64" s="255"/>
      <c r="AM64" s="252"/>
      <c r="AN64" s="255"/>
      <c r="AO64" s="252"/>
      <c r="AP64" s="255"/>
      <c r="AQ64" s="252"/>
      <c r="AR64" s="255"/>
      <c r="AS64" s="252"/>
      <c r="AT64" s="255"/>
      <c r="AU64" s="252"/>
      <c r="AV64" s="255"/>
      <c r="AW64" s="252"/>
    </row>
    <row r="65" spans="1:49" ht="14" x14ac:dyDescent="0.15">
      <c r="A65" s="234" t="str">
        <f>'SA Apr 2016'!K43</f>
        <v>Red Energy</v>
      </c>
      <c r="B65" s="180" t="str">
        <f>'SA Apr 2016'!L43</f>
        <v>Living Energy Saver</v>
      </c>
      <c r="C65" s="181">
        <f>91*'SA Apr 2016'!M43/100</f>
        <v>74.346999999999994</v>
      </c>
      <c r="D65" s="243">
        <f>($C$48*$C$49)*'SA Apr 2016'!N43/100</f>
        <v>1225</v>
      </c>
      <c r="E65" s="181">
        <v>0</v>
      </c>
      <c r="F65" s="181">
        <v>0</v>
      </c>
      <c r="G65" s="181">
        <v>0</v>
      </c>
      <c r="H65" s="181">
        <f>($C$48*$C$50)*'SA Apr 2016'!W43/100</f>
        <v>277.5</v>
      </c>
      <c r="I65" s="185">
        <f t="shared" si="12"/>
        <v>1576.847</v>
      </c>
      <c r="J65" s="186">
        <f t="shared" si="13"/>
        <v>6307.3879999999999</v>
      </c>
      <c r="K65" s="187">
        <v>0</v>
      </c>
      <c r="L65" s="187">
        <f>'SA Apr 2016'!AZ43</f>
        <v>0</v>
      </c>
      <c r="M65" s="187">
        <f>'SA Apr 2016'!BA43</f>
        <v>10</v>
      </c>
      <c r="N65" s="187">
        <f>'SA Apr 2016'!BB43</f>
        <v>0</v>
      </c>
      <c r="O65" s="186">
        <f>J65</f>
        <v>6307.3879999999999</v>
      </c>
      <c r="P65" s="186">
        <f>O65-(O65*M65/100)</f>
        <v>5676.6491999999998</v>
      </c>
      <c r="Q65" s="186">
        <f t="shared" si="14"/>
        <v>6938.1268000000009</v>
      </c>
      <c r="R65" s="186">
        <f t="shared" si="14"/>
        <v>6244.31412</v>
      </c>
      <c r="S65" s="188">
        <f>'SA Apr 2016'!BI43</f>
        <v>24</v>
      </c>
      <c r="T65" s="189" t="str">
        <f>'SA Apr 2016'!BJ43</f>
        <v>y</v>
      </c>
      <c r="U65" s="252"/>
      <c r="V65" s="255"/>
      <c r="W65" s="252"/>
      <c r="X65" s="255"/>
      <c r="Y65" s="252"/>
      <c r="Z65" s="255"/>
      <c r="AA65" s="252"/>
      <c r="AB65" s="255"/>
      <c r="AC65" s="252"/>
      <c r="AD65" s="255"/>
      <c r="AE65" s="252"/>
      <c r="AF65" s="255"/>
      <c r="AG65" s="252"/>
      <c r="AH65" s="255"/>
      <c r="AI65" s="252"/>
      <c r="AJ65" s="255"/>
      <c r="AK65" s="252"/>
      <c r="AL65" s="255"/>
      <c r="AM65" s="252"/>
      <c r="AN65" s="255"/>
      <c r="AO65" s="252"/>
      <c r="AP65" s="255"/>
      <c r="AQ65" s="252"/>
      <c r="AR65" s="255"/>
      <c r="AS65" s="252"/>
      <c r="AT65" s="255"/>
      <c r="AU65" s="252"/>
      <c r="AV65" s="255"/>
      <c r="AW65" s="252"/>
    </row>
    <row r="66" spans="1:49" s="256" customFormat="1" ht="14" x14ac:dyDescent="0.15">
      <c r="A66" s="234" t="str">
        <f>'SA Apr 2016'!K44</f>
        <v>Simply Energy</v>
      </c>
      <c r="B66" s="180" t="str">
        <f>'SA Apr 2016'!L44</f>
        <v>Guaranteed</v>
      </c>
      <c r="C66" s="181">
        <f>91*'SA Apr 2016'!M44/100</f>
        <v>69.760599999999997</v>
      </c>
      <c r="D66" s="243">
        <f>($C$48*$C$49)*'SA Apr 2016'!N44/100</f>
        <v>1352.05</v>
      </c>
      <c r="E66" s="181">
        <v>0</v>
      </c>
      <c r="F66" s="181">
        <v>0</v>
      </c>
      <c r="G66" s="181">
        <v>0</v>
      </c>
      <c r="H66" s="181">
        <f>($C$48*$C$50)*'SA Apr 2016'!W44/100</f>
        <v>357.45</v>
      </c>
      <c r="I66" s="185">
        <f t="shared" si="12"/>
        <v>1779.2606000000001</v>
      </c>
      <c r="J66" s="186">
        <f t="shared" si="13"/>
        <v>7117.0424000000003</v>
      </c>
      <c r="K66" s="187">
        <v>0</v>
      </c>
      <c r="L66" s="187">
        <f>'SA Apr 2016'!AZ44</f>
        <v>0</v>
      </c>
      <c r="M66" s="187">
        <f>'SA Apr 2016'!BA44</f>
        <v>0</v>
      </c>
      <c r="N66" s="187">
        <f>'SA Apr 2016'!BB44</f>
        <v>19</v>
      </c>
      <c r="O66" s="186">
        <f>J66</f>
        <v>7117.0424000000003</v>
      </c>
      <c r="P66" s="186">
        <f>O66-((I66-C66)*N66/100)*4</f>
        <v>5817.8224</v>
      </c>
      <c r="Q66" s="186">
        <f t="shared" si="14"/>
        <v>7828.7466400000012</v>
      </c>
      <c r="R66" s="186">
        <f t="shared" si="14"/>
        <v>6399.6046400000005</v>
      </c>
      <c r="S66" s="188">
        <f>'SA Apr 2016'!BI44</f>
        <v>24</v>
      </c>
      <c r="T66" s="189" t="str">
        <f>'SA Apr 2016'!BJ44</f>
        <v>y</v>
      </c>
      <c r="U66" s="252"/>
      <c r="V66" s="255"/>
      <c r="W66" s="252"/>
      <c r="X66" s="255"/>
      <c r="Y66" s="252"/>
      <c r="Z66" s="255"/>
      <c r="AA66" s="252"/>
      <c r="AB66" s="255"/>
      <c r="AC66" s="252"/>
      <c r="AD66" s="255"/>
      <c r="AE66" s="252"/>
      <c r="AF66" s="255"/>
      <c r="AG66" s="252"/>
      <c r="AH66" s="255"/>
      <c r="AI66" s="252"/>
      <c r="AJ66" s="255"/>
      <c r="AK66" s="252"/>
      <c r="AL66" s="255"/>
      <c r="AM66" s="252"/>
      <c r="AN66" s="255"/>
      <c r="AO66" s="252"/>
      <c r="AP66" s="255"/>
      <c r="AQ66" s="252"/>
      <c r="AR66" s="255"/>
      <c r="AS66" s="252"/>
      <c r="AT66" s="255"/>
      <c r="AU66" s="252"/>
      <c r="AV66" s="255"/>
      <c r="AW66" s="252"/>
    </row>
    <row r="67" spans="1:49" ht="15" thickBot="1" x14ac:dyDescent="0.2">
      <c r="A67" s="235" t="str">
        <f>'SA Apr 2016'!K45</f>
        <v>Urth Energy</v>
      </c>
      <c r="B67" s="207" t="str">
        <f>'SA Apr 2016'!L45</f>
        <v>Market offer</v>
      </c>
      <c r="C67" s="193">
        <f>91*'SA Apr 2016'!M45/100</f>
        <v>63.7</v>
      </c>
      <c r="D67" s="244">
        <f>($C$48*$C$49)*'SA Apr 2016'!N45/100</f>
        <v>1252.9999999999998</v>
      </c>
      <c r="E67" s="193">
        <v>0</v>
      </c>
      <c r="F67" s="193">
        <v>0</v>
      </c>
      <c r="G67" s="193">
        <v>0</v>
      </c>
      <c r="H67" s="193">
        <f>($C$48*$C$50)*'SA Apr 2016'!W45/100</f>
        <v>270</v>
      </c>
      <c r="I67" s="195">
        <f t="shared" si="12"/>
        <v>1586.6999999999998</v>
      </c>
      <c r="J67" s="196">
        <f t="shared" si="13"/>
        <v>6346.7999999999993</v>
      </c>
      <c r="K67" s="197">
        <v>0</v>
      </c>
      <c r="L67" s="197">
        <f>'SA Apr 2016'!AZ45</f>
        <v>0</v>
      </c>
      <c r="M67" s="197">
        <f>'SA Apr 2016'!BA45</f>
        <v>0</v>
      </c>
      <c r="N67" s="197">
        <f>'SA Apr 2016'!BB45</f>
        <v>10</v>
      </c>
      <c r="O67" s="196">
        <f>J67</f>
        <v>6346.7999999999993</v>
      </c>
      <c r="P67" s="196">
        <f>O67-((I67-C67)*N67/100)*4</f>
        <v>5737.5999999999995</v>
      </c>
      <c r="Q67" s="196">
        <f t="shared" si="14"/>
        <v>6981.48</v>
      </c>
      <c r="R67" s="196">
        <f t="shared" si="14"/>
        <v>6311.36</v>
      </c>
      <c r="S67" s="198">
        <f>'SA Apr 2016'!BI45</f>
        <v>36</v>
      </c>
      <c r="T67" s="199" t="str">
        <f>'SA Apr 2016'!BJ45</f>
        <v>y</v>
      </c>
      <c r="U67" s="252"/>
      <c r="V67" s="255"/>
      <c r="W67" s="252"/>
      <c r="X67" s="255"/>
      <c r="Y67" s="252"/>
      <c r="Z67" s="255"/>
      <c r="AA67" s="252"/>
      <c r="AB67" s="255"/>
      <c r="AC67" s="252"/>
      <c r="AD67" s="255"/>
      <c r="AE67" s="252"/>
      <c r="AF67" s="255"/>
      <c r="AG67" s="252"/>
      <c r="AH67" s="255"/>
      <c r="AI67" s="252"/>
      <c r="AJ67" s="255"/>
      <c r="AK67" s="252"/>
      <c r="AL67" s="255"/>
      <c r="AM67" s="252"/>
      <c r="AN67" s="255"/>
      <c r="AO67" s="252"/>
      <c r="AP67" s="255"/>
      <c r="AQ67" s="252"/>
      <c r="AR67" s="255"/>
      <c r="AS67" s="252"/>
      <c r="AT67" s="255"/>
      <c r="AU67" s="252"/>
      <c r="AV67" s="255"/>
      <c r="AW67" s="252"/>
    </row>
    <row r="68" spans="1:49" ht="14" x14ac:dyDescent="0.1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5"/>
      <c r="W68" s="252"/>
      <c r="X68" s="255"/>
      <c r="Y68" s="252"/>
      <c r="Z68" s="255"/>
      <c r="AA68" s="252"/>
      <c r="AB68" s="255"/>
      <c r="AC68" s="252"/>
      <c r="AD68" s="255"/>
      <c r="AE68" s="252"/>
      <c r="AF68" s="255"/>
      <c r="AG68" s="252"/>
      <c r="AH68" s="255"/>
      <c r="AI68" s="252"/>
      <c r="AJ68" s="255"/>
      <c r="AK68" s="252"/>
      <c r="AL68" s="255"/>
      <c r="AM68" s="252"/>
      <c r="AN68" s="255"/>
      <c r="AO68" s="252"/>
      <c r="AP68" s="255"/>
      <c r="AQ68" s="252"/>
      <c r="AR68" s="255"/>
      <c r="AS68" s="252"/>
      <c r="AT68" s="255"/>
      <c r="AU68" s="252"/>
      <c r="AV68" s="255"/>
      <c r="AW68" s="252"/>
    </row>
    <row r="69" spans="1:49" ht="14" x14ac:dyDescent="0.1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</row>
    <row r="70" spans="1:49" ht="14" x14ac:dyDescent="0.1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</row>
    <row r="71" spans="1:49" ht="14" x14ac:dyDescent="0.1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</row>
    <row r="72" spans="1:49" ht="14" x14ac:dyDescent="0.1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</row>
    <row r="73" spans="1:49" ht="14" x14ac:dyDescent="0.1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</row>
    <row r="74" spans="1:49" ht="14" x14ac:dyDescent="0.15">
      <c r="A74" s="252"/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</row>
    <row r="75" spans="1:49" ht="14" x14ac:dyDescent="0.15">
      <c r="A75" s="252"/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</row>
    <row r="76" spans="1:49" ht="14" x14ac:dyDescent="0.15">
      <c r="A76" s="252"/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</row>
    <row r="77" spans="1:49" ht="14" x14ac:dyDescent="0.15">
      <c r="A77" s="252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</row>
    <row r="78" spans="1:49" ht="14" x14ac:dyDescent="0.15">
      <c r="A78" s="252"/>
      <c r="B78" s="252"/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</row>
    <row r="79" spans="1:49" ht="14" x14ac:dyDescent="0.15">
      <c r="A79" s="252"/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</row>
    <row r="80" spans="1:49" ht="14" x14ac:dyDescent="0.15">
      <c r="A80" s="252"/>
      <c r="B80" s="252"/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</row>
    <row r="81" spans="1:49" ht="14" x14ac:dyDescent="0.15">
      <c r="A81" s="252"/>
      <c r="B81" s="252"/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</row>
    <row r="82" spans="1:49" ht="14" x14ac:dyDescent="0.15">
      <c r="A82" s="252"/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</row>
    <row r="83" spans="1:49" ht="14" x14ac:dyDescent="0.15">
      <c r="A83" s="252"/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  <c r="AP83" s="252"/>
      <c r="AQ83" s="252"/>
      <c r="AR83" s="252"/>
      <c r="AS83" s="252"/>
      <c r="AT83" s="252"/>
      <c r="AU83" s="252"/>
      <c r="AV83" s="252"/>
      <c r="AW83" s="252"/>
    </row>
    <row r="84" spans="1:49" ht="14" x14ac:dyDescent="0.15">
      <c r="A84" s="252"/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</row>
    <row r="85" spans="1:49" ht="14" x14ac:dyDescent="0.15">
      <c r="A85" s="252"/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252"/>
      <c r="AU85" s="252"/>
      <c r="AV85" s="252"/>
      <c r="AW85" s="252"/>
    </row>
    <row r="86" spans="1:49" ht="14" x14ac:dyDescent="0.15">
      <c r="A86" s="252"/>
      <c r="B86" s="252"/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</row>
    <row r="87" spans="1:49" ht="14" x14ac:dyDescent="0.15">
      <c r="A87" s="252"/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</row>
    <row r="88" spans="1:49" ht="14" x14ac:dyDescent="0.15">
      <c r="A88" s="252"/>
      <c r="B88" s="252"/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</row>
    <row r="89" spans="1:49" ht="14" x14ac:dyDescent="0.15">
      <c r="A89" s="252"/>
      <c r="B89" s="252"/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252"/>
      <c r="AU89" s="252"/>
      <c r="AV89" s="252"/>
      <c r="AW89" s="252"/>
    </row>
    <row r="90" spans="1:49" ht="14" x14ac:dyDescent="0.15">
      <c r="A90" s="252"/>
      <c r="B90" s="252"/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52"/>
      <c r="AN90" s="252"/>
      <c r="AO90" s="252"/>
      <c r="AP90" s="252"/>
      <c r="AQ90" s="252"/>
      <c r="AR90" s="252"/>
      <c r="AS90" s="252"/>
      <c r="AT90" s="252"/>
      <c r="AU90" s="252"/>
      <c r="AV90" s="252"/>
      <c r="AW90" s="252"/>
    </row>
    <row r="91" spans="1:49" ht="14" x14ac:dyDescent="0.15">
      <c r="A91" s="252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</row>
    <row r="92" spans="1:49" ht="14" x14ac:dyDescent="0.15">
      <c r="A92" s="252"/>
      <c r="B92" s="252"/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</row>
    <row r="93" spans="1:49" ht="14" x14ac:dyDescent="0.15">
      <c r="A93" s="252"/>
      <c r="B93" s="252"/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</row>
    <row r="94" spans="1:49" ht="14" x14ac:dyDescent="0.15">
      <c r="A94" s="252"/>
      <c r="B94" s="252"/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</row>
    <row r="95" spans="1:49" ht="14" x14ac:dyDescent="0.15">
      <c r="A95" s="252"/>
      <c r="B95" s="252"/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</row>
    <row r="96" spans="1:49" ht="14" x14ac:dyDescent="0.15">
      <c r="A96" s="252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</row>
    <row r="97" spans="1:49" ht="14" x14ac:dyDescent="0.15">
      <c r="A97" s="252"/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</row>
    <row r="98" spans="1:49" ht="14" x14ac:dyDescent="0.15">
      <c r="A98" s="252"/>
      <c r="B98" s="252"/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</row>
    <row r="99" spans="1:49" ht="14" x14ac:dyDescent="0.15">
      <c r="A99" s="252"/>
      <c r="B99" s="252"/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</row>
    <row r="100" spans="1:49" ht="14" x14ac:dyDescent="0.15">
      <c r="A100" s="252"/>
      <c r="B100" s="252"/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</row>
    <row r="101" spans="1:49" ht="14" x14ac:dyDescent="0.15">
      <c r="A101" s="252"/>
      <c r="B101" s="252"/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</row>
    <row r="102" spans="1:49" ht="14" x14ac:dyDescent="0.15">
      <c r="A102" s="252"/>
      <c r="B102" s="252"/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</row>
    <row r="103" spans="1:49" ht="14" x14ac:dyDescent="0.15">
      <c r="A103" s="252"/>
      <c r="B103" s="252"/>
      <c r="C103" s="252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</row>
    <row r="104" spans="1:49" ht="14" x14ac:dyDescent="0.15">
      <c r="A104" s="252"/>
      <c r="B104" s="252"/>
      <c r="C104" s="252"/>
      <c r="D104" s="252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</row>
    <row r="105" spans="1:49" ht="14" x14ac:dyDescent="0.15">
      <c r="A105" s="252"/>
      <c r="B105" s="252"/>
      <c r="C105" s="252"/>
      <c r="D105" s="252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</row>
    <row r="106" spans="1:49" ht="14" x14ac:dyDescent="0.15">
      <c r="A106" s="252"/>
      <c r="B106" s="252"/>
      <c r="C106" s="252"/>
      <c r="D106" s="252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</row>
    <row r="107" spans="1:49" ht="14" x14ac:dyDescent="0.15">
      <c r="A107" s="252"/>
      <c r="B107" s="252"/>
      <c r="C107" s="252"/>
      <c r="D107" s="252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</row>
    <row r="108" spans="1:49" ht="14" x14ac:dyDescent="0.15">
      <c r="A108" s="252"/>
      <c r="B108" s="252"/>
      <c r="C108" s="252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</row>
    <row r="109" spans="1:49" ht="14" x14ac:dyDescent="0.15">
      <c r="A109" s="252"/>
      <c r="B109" s="252"/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52"/>
      <c r="AN109" s="252"/>
      <c r="AO109" s="252"/>
      <c r="AP109" s="252"/>
      <c r="AQ109" s="252"/>
      <c r="AR109" s="252"/>
      <c r="AS109" s="252"/>
      <c r="AT109" s="252"/>
      <c r="AU109" s="252"/>
      <c r="AV109" s="252"/>
      <c r="AW109" s="252"/>
    </row>
    <row r="110" spans="1:49" ht="14" x14ac:dyDescent="0.15">
      <c r="A110" s="252"/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  <c r="AS110" s="252"/>
      <c r="AT110" s="252"/>
      <c r="AU110" s="252"/>
      <c r="AV110" s="252"/>
      <c r="AW110" s="252"/>
    </row>
    <row r="111" spans="1:49" ht="14" x14ac:dyDescent="0.15">
      <c r="A111" s="252"/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  <c r="AQ111" s="252"/>
      <c r="AR111" s="252"/>
      <c r="AS111" s="252"/>
      <c r="AT111" s="252"/>
      <c r="AU111" s="252"/>
      <c r="AV111" s="252"/>
      <c r="AW111" s="252"/>
    </row>
    <row r="112" spans="1:49" ht="14" x14ac:dyDescent="0.15">
      <c r="A112" s="252"/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52"/>
      <c r="AR112" s="252"/>
      <c r="AS112" s="252"/>
      <c r="AT112" s="252"/>
      <c r="AU112" s="252"/>
      <c r="AV112" s="252"/>
      <c r="AW112" s="252"/>
    </row>
    <row r="113" spans="1:49" ht="14" x14ac:dyDescent="0.15">
      <c r="A113" s="252"/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  <c r="AP113" s="252"/>
      <c r="AQ113" s="252"/>
      <c r="AR113" s="252"/>
      <c r="AS113" s="252"/>
      <c r="AT113" s="252"/>
      <c r="AU113" s="252"/>
      <c r="AV113" s="252"/>
      <c r="AW113" s="252"/>
    </row>
    <row r="114" spans="1:49" ht="14" x14ac:dyDescent="0.15">
      <c r="A114" s="252"/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  <c r="AP114" s="252"/>
      <c r="AQ114" s="252"/>
      <c r="AR114" s="252"/>
      <c r="AS114" s="252"/>
      <c r="AT114" s="252"/>
      <c r="AU114" s="252"/>
      <c r="AV114" s="252"/>
      <c r="AW114" s="252"/>
    </row>
    <row r="115" spans="1:49" ht="14" x14ac:dyDescent="0.15">
      <c r="A115" s="252"/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2"/>
      <c r="AO115" s="252"/>
      <c r="AP115" s="252"/>
      <c r="AQ115" s="252"/>
      <c r="AR115" s="252"/>
      <c r="AS115" s="252"/>
      <c r="AT115" s="252"/>
      <c r="AU115" s="252"/>
      <c r="AV115" s="252"/>
      <c r="AW115" s="252"/>
    </row>
    <row r="116" spans="1:49" ht="14" x14ac:dyDescent="0.15">
      <c r="A116" s="252"/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52"/>
      <c r="AN116" s="252"/>
      <c r="AO116" s="252"/>
      <c r="AP116" s="252"/>
      <c r="AQ116" s="252"/>
      <c r="AR116" s="252"/>
      <c r="AS116" s="252"/>
      <c r="AT116" s="252"/>
      <c r="AU116" s="252"/>
      <c r="AV116" s="252"/>
      <c r="AW116" s="252"/>
    </row>
    <row r="117" spans="1:49" ht="14" x14ac:dyDescent="0.15">
      <c r="A117" s="252"/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  <c r="AP117" s="252"/>
      <c r="AQ117" s="252"/>
      <c r="AR117" s="252"/>
      <c r="AS117" s="252"/>
      <c r="AT117" s="252"/>
      <c r="AU117" s="252"/>
      <c r="AV117" s="252"/>
      <c r="AW117" s="252"/>
    </row>
    <row r="118" spans="1:49" ht="14" x14ac:dyDescent="0.15">
      <c r="A118" s="252"/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52"/>
      <c r="AN118" s="252"/>
      <c r="AO118" s="252"/>
      <c r="AP118" s="252"/>
      <c r="AQ118" s="252"/>
      <c r="AR118" s="252"/>
      <c r="AS118" s="252"/>
      <c r="AT118" s="252"/>
      <c r="AU118" s="252"/>
      <c r="AV118" s="252"/>
      <c r="AW118" s="252"/>
    </row>
    <row r="119" spans="1:49" ht="14" x14ac:dyDescent="0.15">
      <c r="A119" s="252"/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  <c r="AP119" s="252"/>
      <c r="AQ119" s="252"/>
      <c r="AR119" s="252"/>
      <c r="AS119" s="252"/>
      <c r="AT119" s="252"/>
      <c r="AU119" s="252"/>
      <c r="AV119" s="252"/>
      <c r="AW119" s="252"/>
    </row>
    <row r="120" spans="1:49" ht="14" x14ac:dyDescent="0.15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P120" s="252"/>
      <c r="AQ120" s="252"/>
      <c r="AR120" s="252"/>
      <c r="AS120" s="252"/>
      <c r="AT120" s="252"/>
      <c r="AU120" s="252"/>
      <c r="AV120" s="252"/>
      <c r="AW120" s="252"/>
    </row>
    <row r="121" spans="1:49" ht="14" x14ac:dyDescent="0.15">
      <c r="A121" s="252"/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52"/>
      <c r="AR121" s="252"/>
      <c r="AS121" s="252"/>
      <c r="AT121" s="252"/>
      <c r="AU121" s="252"/>
      <c r="AV121" s="252"/>
      <c r="AW121" s="252"/>
    </row>
    <row r="122" spans="1:49" ht="14" x14ac:dyDescent="0.15">
      <c r="A122" s="252"/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  <c r="AT122" s="252"/>
      <c r="AU122" s="252"/>
      <c r="AV122" s="252"/>
      <c r="AW122" s="252"/>
    </row>
    <row r="123" spans="1:49" ht="14" x14ac:dyDescent="0.15">
      <c r="A123" s="252"/>
      <c r="B123" s="252"/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  <c r="AT123" s="252"/>
      <c r="AU123" s="252"/>
      <c r="AV123" s="252"/>
      <c r="AW123" s="252"/>
    </row>
    <row r="124" spans="1:49" ht="14" x14ac:dyDescent="0.15">
      <c r="A124" s="252"/>
      <c r="B124" s="252"/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  <c r="AT124" s="252"/>
      <c r="AU124" s="252"/>
      <c r="AV124" s="252"/>
      <c r="AW124" s="252"/>
    </row>
    <row r="125" spans="1:49" ht="14" x14ac:dyDescent="0.15">
      <c r="A125" s="252"/>
      <c r="B125" s="252"/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  <c r="AT125" s="252"/>
      <c r="AU125" s="252"/>
      <c r="AV125" s="252"/>
      <c r="AW125" s="252"/>
    </row>
    <row r="126" spans="1:49" ht="14" x14ac:dyDescent="0.15">
      <c r="A126" s="252"/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  <c r="AT126" s="252"/>
      <c r="AU126" s="252"/>
      <c r="AV126" s="252"/>
      <c r="AW126" s="252"/>
    </row>
    <row r="127" spans="1:49" ht="14" x14ac:dyDescent="0.15">
      <c r="A127" s="252"/>
      <c r="B127" s="252"/>
      <c r="C127" s="252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  <c r="AT127" s="252"/>
      <c r="AU127" s="252"/>
      <c r="AV127" s="252"/>
      <c r="AW127" s="252"/>
    </row>
    <row r="128" spans="1:49" ht="14" x14ac:dyDescent="0.15">
      <c r="A128" s="252"/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  <c r="AT128" s="252"/>
      <c r="AU128" s="252"/>
      <c r="AV128" s="252"/>
      <c r="AW128" s="252"/>
    </row>
    <row r="129" spans="1:49" ht="14" x14ac:dyDescent="0.15">
      <c r="A129" s="252"/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  <c r="AT129" s="252"/>
      <c r="AU129" s="252"/>
      <c r="AV129" s="252"/>
      <c r="AW129" s="252"/>
    </row>
    <row r="130" spans="1:49" ht="14" x14ac:dyDescent="0.15">
      <c r="A130" s="252"/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  <c r="AT130" s="252"/>
      <c r="AU130" s="252"/>
      <c r="AV130" s="252"/>
      <c r="AW130" s="252"/>
    </row>
    <row r="131" spans="1:49" ht="14" x14ac:dyDescent="0.15">
      <c r="A131" s="252"/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52"/>
      <c r="AR131" s="252"/>
      <c r="AS131" s="252"/>
      <c r="AT131" s="252"/>
      <c r="AU131" s="252"/>
      <c r="AV131" s="252"/>
      <c r="AW131" s="252"/>
    </row>
    <row r="132" spans="1:49" ht="14" x14ac:dyDescent="0.15">
      <c r="A132" s="252"/>
      <c r="B132" s="252"/>
      <c r="C132" s="252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52"/>
      <c r="AR132" s="252"/>
      <c r="AS132" s="252"/>
      <c r="AT132" s="252"/>
      <c r="AU132" s="252"/>
      <c r="AV132" s="252"/>
      <c r="AW132" s="252"/>
    </row>
    <row r="133" spans="1:49" ht="14" x14ac:dyDescent="0.15">
      <c r="A133" s="252"/>
      <c r="B133" s="252"/>
      <c r="C133" s="252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52"/>
      <c r="AR133" s="252"/>
      <c r="AS133" s="252"/>
      <c r="AT133" s="252"/>
      <c r="AU133" s="252"/>
      <c r="AV133" s="252"/>
      <c r="AW133" s="252"/>
    </row>
    <row r="134" spans="1:49" ht="14" x14ac:dyDescent="0.15">
      <c r="A134" s="252"/>
      <c r="B134" s="252"/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52"/>
      <c r="AR134" s="252"/>
      <c r="AS134" s="252"/>
      <c r="AT134" s="252"/>
      <c r="AU134" s="252"/>
      <c r="AV134" s="252"/>
      <c r="AW134" s="252"/>
    </row>
    <row r="135" spans="1:49" ht="14" x14ac:dyDescent="0.15">
      <c r="A135" s="252"/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52"/>
      <c r="AR135" s="252"/>
      <c r="AS135" s="252"/>
      <c r="AT135" s="252"/>
      <c r="AU135" s="252"/>
      <c r="AV135" s="252"/>
      <c r="AW135" s="252"/>
    </row>
    <row r="136" spans="1:49" ht="14" x14ac:dyDescent="0.15">
      <c r="A136" s="252"/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52"/>
      <c r="AR136" s="252"/>
      <c r="AS136" s="252"/>
      <c r="AT136" s="252"/>
      <c r="AU136" s="252"/>
      <c r="AV136" s="252"/>
      <c r="AW136" s="252"/>
    </row>
    <row r="137" spans="1:49" ht="14" x14ac:dyDescent="0.15">
      <c r="A137" s="252"/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52"/>
      <c r="AR137" s="252"/>
      <c r="AS137" s="252"/>
      <c r="AT137" s="252"/>
      <c r="AU137" s="252"/>
      <c r="AV137" s="252"/>
      <c r="AW137" s="252"/>
    </row>
    <row r="138" spans="1:49" ht="14" x14ac:dyDescent="0.15">
      <c r="A138" s="252"/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52"/>
      <c r="AR138" s="252"/>
      <c r="AS138" s="252"/>
      <c r="AT138" s="252"/>
      <c r="AU138" s="252"/>
      <c r="AV138" s="252"/>
      <c r="AW138" s="252"/>
    </row>
    <row r="139" spans="1:49" ht="14" x14ac:dyDescent="0.15">
      <c r="A139" s="252"/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52"/>
      <c r="AR139" s="252"/>
      <c r="AS139" s="252"/>
      <c r="AT139" s="252"/>
      <c r="AU139" s="252"/>
      <c r="AV139" s="252"/>
      <c r="AW139" s="252"/>
    </row>
    <row r="140" spans="1:49" ht="14" x14ac:dyDescent="0.15">
      <c r="A140" s="252"/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52"/>
      <c r="AR140" s="252"/>
      <c r="AS140" s="252"/>
      <c r="AT140" s="252"/>
      <c r="AU140" s="252"/>
      <c r="AV140" s="252"/>
      <c r="AW140" s="252"/>
    </row>
    <row r="141" spans="1:49" ht="14" x14ac:dyDescent="0.15">
      <c r="A141" s="252"/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2"/>
      <c r="AN141" s="252"/>
      <c r="AO141" s="252"/>
      <c r="AP141" s="252"/>
      <c r="AQ141" s="252"/>
      <c r="AR141" s="252"/>
      <c r="AS141" s="252"/>
      <c r="AT141" s="252"/>
      <c r="AU141" s="252"/>
      <c r="AV141" s="252"/>
      <c r="AW141" s="252"/>
    </row>
    <row r="142" spans="1:49" ht="14" x14ac:dyDescent="0.15">
      <c r="A142" s="252"/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  <c r="AA142" s="252"/>
      <c r="AB142" s="252"/>
      <c r="AC142" s="252"/>
      <c r="AD142" s="252"/>
      <c r="AE142" s="252"/>
      <c r="AF142" s="252"/>
      <c r="AG142" s="252"/>
      <c r="AH142" s="252"/>
      <c r="AI142" s="252"/>
      <c r="AJ142" s="252"/>
      <c r="AK142" s="252"/>
      <c r="AL142" s="252"/>
      <c r="AM142" s="252"/>
      <c r="AN142" s="252"/>
      <c r="AO142" s="252"/>
      <c r="AP142" s="252"/>
      <c r="AQ142" s="252"/>
      <c r="AR142" s="252"/>
      <c r="AS142" s="252"/>
      <c r="AT142" s="252"/>
      <c r="AU142" s="252"/>
      <c r="AV142" s="252"/>
      <c r="AW142" s="252"/>
    </row>
    <row r="143" spans="1:49" ht="14" x14ac:dyDescent="0.15">
      <c r="A143" s="252"/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  <c r="AP143" s="252"/>
      <c r="AQ143" s="252"/>
      <c r="AR143" s="252"/>
      <c r="AS143" s="252"/>
      <c r="AT143" s="252"/>
      <c r="AU143" s="252"/>
      <c r="AV143" s="252"/>
      <c r="AW143" s="252"/>
    </row>
    <row r="144" spans="1:49" ht="14" x14ac:dyDescent="0.15">
      <c r="A144" s="252"/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  <c r="AE144" s="252"/>
      <c r="AF144" s="252"/>
      <c r="AG144" s="252"/>
      <c r="AH144" s="252"/>
      <c r="AI144" s="252"/>
      <c r="AJ144" s="252"/>
      <c r="AK144" s="252"/>
      <c r="AL144" s="252"/>
      <c r="AM144" s="252"/>
      <c r="AN144" s="252"/>
      <c r="AO144" s="252"/>
      <c r="AP144" s="252"/>
      <c r="AQ144" s="252"/>
      <c r="AR144" s="252"/>
      <c r="AS144" s="252"/>
      <c r="AT144" s="252"/>
      <c r="AU144" s="252"/>
      <c r="AV144" s="252"/>
      <c r="AW144" s="252"/>
    </row>
    <row r="145" spans="1:49" ht="14" x14ac:dyDescent="0.15">
      <c r="A145" s="252"/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  <c r="AA145" s="252"/>
      <c r="AB145" s="252"/>
      <c r="AC145" s="252"/>
      <c r="AD145" s="252"/>
      <c r="AE145" s="252"/>
      <c r="AF145" s="252"/>
      <c r="AG145" s="252"/>
      <c r="AH145" s="252"/>
      <c r="AI145" s="252"/>
      <c r="AJ145" s="252"/>
      <c r="AK145" s="252"/>
      <c r="AL145" s="252"/>
      <c r="AM145" s="252"/>
      <c r="AN145" s="252"/>
      <c r="AO145" s="252"/>
      <c r="AP145" s="252"/>
      <c r="AQ145" s="252"/>
      <c r="AR145" s="252"/>
      <c r="AS145" s="252"/>
      <c r="AT145" s="252"/>
      <c r="AU145" s="252"/>
      <c r="AV145" s="252"/>
      <c r="AW145" s="252"/>
    </row>
    <row r="146" spans="1:49" ht="14" x14ac:dyDescent="0.15">
      <c r="A146" s="252"/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  <c r="Y146" s="252"/>
      <c r="Z146" s="252"/>
      <c r="AA146" s="252"/>
      <c r="AB146" s="252"/>
      <c r="AC146" s="252"/>
      <c r="AD146" s="252"/>
      <c r="AE146" s="252"/>
      <c r="AF146" s="252"/>
      <c r="AG146" s="252"/>
      <c r="AH146" s="252"/>
      <c r="AI146" s="252"/>
      <c r="AJ146" s="252"/>
      <c r="AK146" s="252"/>
      <c r="AL146" s="252"/>
      <c r="AM146" s="252"/>
      <c r="AN146" s="252"/>
      <c r="AO146" s="252"/>
      <c r="AP146" s="252"/>
      <c r="AQ146" s="252"/>
      <c r="AR146" s="252"/>
      <c r="AS146" s="252"/>
      <c r="AT146" s="252"/>
      <c r="AU146" s="252"/>
      <c r="AV146" s="252"/>
      <c r="AW146" s="252"/>
    </row>
    <row r="147" spans="1:49" ht="14" x14ac:dyDescent="0.15">
      <c r="A147" s="252"/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  <c r="AA147" s="252"/>
      <c r="AB147" s="252"/>
      <c r="AC147" s="252"/>
      <c r="AD147" s="252"/>
      <c r="AE147" s="252"/>
      <c r="AF147" s="252"/>
      <c r="AG147" s="252"/>
      <c r="AH147" s="252"/>
      <c r="AI147" s="252"/>
      <c r="AJ147" s="252"/>
      <c r="AK147" s="252"/>
      <c r="AL147" s="252"/>
      <c r="AM147" s="252"/>
      <c r="AN147" s="252"/>
      <c r="AO147" s="252"/>
      <c r="AP147" s="252"/>
      <c r="AQ147" s="252"/>
      <c r="AR147" s="252"/>
      <c r="AS147" s="252"/>
      <c r="AT147" s="252"/>
      <c r="AU147" s="252"/>
      <c r="AV147" s="252"/>
      <c r="AW147" s="252"/>
    </row>
    <row r="148" spans="1:49" ht="14" x14ac:dyDescent="0.15">
      <c r="A148" s="252"/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252"/>
      <c r="AO148" s="252"/>
      <c r="AP148" s="252"/>
      <c r="AQ148" s="252"/>
      <c r="AR148" s="252"/>
      <c r="AS148" s="252"/>
      <c r="AT148" s="252"/>
      <c r="AU148" s="252"/>
      <c r="AV148" s="252"/>
      <c r="AW148" s="252"/>
    </row>
    <row r="149" spans="1:49" ht="14" x14ac:dyDescent="0.15">
      <c r="A149" s="252"/>
      <c r="B149" s="252"/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252"/>
      <c r="AO149" s="252"/>
      <c r="AP149" s="252"/>
      <c r="AQ149" s="252"/>
      <c r="AR149" s="252"/>
      <c r="AS149" s="252"/>
      <c r="AT149" s="252"/>
      <c r="AU149" s="252"/>
      <c r="AV149" s="252"/>
      <c r="AW149" s="252"/>
    </row>
    <row r="150" spans="1:49" ht="14" x14ac:dyDescent="0.15">
      <c r="A150" s="252"/>
      <c r="B150" s="252"/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  <c r="AA150" s="252"/>
      <c r="AB150" s="252"/>
      <c r="AC150" s="252"/>
      <c r="AD150" s="252"/>
      <c r="AE150" s="252"/>
      <c r="AF150" s="252"/>
      <c r="AG150" s="252"/>
      <c r="AH150" s="252"/>
      <c r="AI150" s="252"/>
      <c r="AJ150" s="252"/>
      <c r="AK150" s="252"/>
      <c r="AL150" s="252"/>
      <c r="AM150" s="252"/>
      <c r="AN150" s="252"/>
      <c r="AO150" s="252"/>
      <c r="AP150" s="252"/>
      <c r="AQ150" s="252"/>
      <c r="AR150" s="252"/>
      <c r="AS150" s="252"/>
      <c r="AT150" s="252"/>
      <c r="AU150" s="252"/>
      <c r="AV150" s="252"/>
      <c r="AW150" s="252"/>
    </row>
    <row r="151" spans="1:49" ht="14" x14ac:dyDescent="0.15">
      <c r="A151" s="252"/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  <c r="AA151" s="252"/>
      <c r="AB151" s="252"/>
      <c r="AC151" s="252"/>
      <c r="AD151" s="252"/>
      <c r="AE151" s="252"/>
      <c r="AF151" s="252"/>
      <c r="AG151" s="252"/>
      <c r="AH151" s="252"/>
      <c r="AI151" s="252"/>
      <c r="AJ151" s="252"/>
      <c r="AK151" s="252"/>
      <c r="AL151" s="252"/>
      <c r="AM151" s="252"/>
      <c r="AN151" s="252"/>
      <c r="AO151" s="252"/>
      <c r="AP151" s="252"/>
      <c r="AQ151" s="252"/>
      <c r="AR151" s="252"/>
      <c r="AS151" s="252"/>
      <c r="AT151" s="252"/>
      <c r="AU151" s="252"/>
      <c r="AV151" s="252"/>
      <c r="AW151" s="252"/>
    </row>
    <row r="152" spans="1:49" ht="14" x14ac:dyDescent="0.15">
      <c r="A152" s="252"/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  <c r="AA152" s="252"/>
      <c r="AB152" s="252"/>
      <c r="AC152" s="252"/>
      <c r="AD152" s="252"/>
      <c r="AE152" s="252"/>
      <c r="AF152" s="252"/>
      <c r="AG152" s="252"/>
      <c r="AH152" s="252"/>
      <c r="AI152" s="252"/>
      <c r="AJ152" s="252"/>
      <c r="AK152" s="252"/>
      <c r="AL152" s="252"/>
      <c r="AM152" s="252"/>
      <c r="AN152" s="252"/>
      <c r="AO152" s="252"/>
      <c r="AP152" s="252"/>
      <c r="AQ152" s="252"/>
      <c r="AR152" s="252"/>
      <c r="AS152" s="252"/>
      <c r="AT152" s="252"/>
      <c r="AU152" s="252"/>
      <c r="AV152" s="252"/>
      <c r="AW152" s="252"/>
    </row>
    <row r="153" spans="1:49" ht="14" x14ac:dyDescent="0.15">
      <c r="A153" s="252"/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  <c r="Z153" s="252"/>
      <c r="AA153" s="252"/>
      <c r="AB153" s="252"/>
      <c r="AC153" s="252"/>
      <c r="AD153" s="252"/>
      <c r="AE153" s="252"/>
      <c r="AF153" s="252"/>
      <c r="AG153" s="252"/>
      <c r="AH153" s="252"/>
      <c r="AI153" s="252"/>
      <c r="AJ153" s="252"/>
      <c r="AK153" s="252"/>
      <c r="AL153" s="252"/>
      <c r="AM153" s="252"/>
      <c r="AN153" s="252"/>
      <c r="AO153" s="252"/>
      <c r="AP153" s="252"/>
      <c r="AQ153" s="252"/>
      <c r="AR153" s="252"/>
      <c r="AS153" s="252"/>
      <c r="AT153" s="252"/>
      <c r="AU153" s="252"/>
      <c r="AV153" s="252"/>
      <c r="AW153" s="252"/>
    </row>
    <row r="154" spans="1:49" ht="14" x14ac:dyDescent="0.15">
      <c r="A154" s="252"/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  <c r="Z154" s="252"/>
      <c r="AA154" s="252"/>
      <c r="AB154" s="252"/>
      <c r="AC154" s="252"/>
      <c r="AD154" s="252"/>
      <c r="AE154" s="252"/>
      <c r="AF154" s="252"/>
      <c r="AG154" s="252"/>
      <c r="AH154" s="252"/>
      <c r="AI154" s="252"/>
      <c r="AJ154" s="252"/>
      <c r="AK154" s="252"/>
      <c r="AL154" s="252"/>
      <c r="AM154" s="252"/>
      <c r="AN154" s="252"/>
      <c r="AO154" s="252"/>
      <c r="AP154" s="252"/>
      <c r="AQ154" s="252"/>
      <c r="AR154" s="252"/>
      <c r="AS154" s="252"/>
      <c r="AT154" s="252"/>
      <c r="AU154" s="252"/>
      <c r="AV154" s="252"/>
      <c r="AW154" s="252"/>
    </row>
    <row r="155" spans="1:49" ht="14" x14ac:dyDescent="0.15">
      <c r="A155" s="252"/>
      <c r="B155" s="252"/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Z155" s="252"/>
      <c r="AA155" s="252"/>
      <c r="AB155" s="252"/>
      <c r="AC155" s="252"/>
      <c r="AD155" s="252"/>
      <c r="AE155" s="252"/>
      <c r="AF155" s="252"/>
      <c r="AG155" s="252"/>
      <c r="AH155" s="252"/>
      <c r="AI155" s="252"/>
      <c r="AJ155" s="252"/>
      <c r="AK155" s="252"/>
      <c r="AL155" s="252"/>
      <c r="AM155" s="252"/>
      <c r="AN155" s="252"/>
      <c r="AO155" s="252"/>
      <c r="AP155" s="252"/>
      <c r="AQ155" s="252"/>
      <c r="AR155" s="252"/>
      <c r="AS155" s="252"/>
      <c r="AT155" s="252"/>
      <c r="AU155" s="252"/>
      <c r="AV155" s="252"/>
      <c r="AW155" s="252"/>
    </row>
    <row r="156" spans="1:49" ht="14" x14ac:dyDescent="0.15">
      <c r="A156" s="252"/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Z156" s="252"/>
      <c r="AA156" s="252"/>
      <c r="AB156" s="252"/>
      <c r="AC156" s="252"/>
      <c r="AD156" s="252"/>
      <c r="AE156" s="252"/>
      <c r="AF156" s="252"/>
      <c r="AG156" s="252"/>
      <c r="AH156" s="252"/>
      <c r="AI156" s="252"/>
      <c r="AJ156" s="252"/>
      <c r="AK156" s="252"/>
      <c r="AL156" s="252"/>
      <c r="AM156" s="252"/>
      <c r="AN156" s="252"/>
      <c r="AO156" s="252"/>
      <c r="AP156" s="252"/>
      <c r="AQ156" s="252"/>
      <c r="AR156" s="252"/>
      <c r="AS156" s="252"/>
      <c r="AT156" s="252"/>
      <c r="AU156" s="252"/>
      <c r="AV156" s="252"/>
      <c r="AW156" s="252"/>
    </row>
    <row r="157" spans="1:49" ht="14" x14ac:dyDescent="0.15">
      <c r="A157" s="252"/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/>
      <c r="AR157" s="252"/>
      <c r="AS157" s="252"/>
      <c r="AT157" s="252"/>
      <c r="AU157" s="252"/>
      <c r="AV157" s="252"/>
      <c r="AW157" s="252"/>
    </row>
    <row r="158" spans="1:49" ht="14" x14ac:dyDescent="0.15">
      <c r="A158" s="252"/>
      <c r="B158" s="252"/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  <c r="AS158" s="252"/>
      <c r="AT158" s="252"/>
      <c r="AU158" s="252"/>
      <c r="AV158" s="252"/>
      <c r="AW158" s="252"/>
    </row>
    <row r="159" spans="1:49" ht="14" x14ac:dyDescent="0.15">
      <c r="A159" s="252"/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  <c r="AA159" s="252"/>
      <c r="AB159" s="252"/>
      <c r="AC159" s="252"/>
      <c r="AD159" s="252"/>
      <c r="AE159" s="252"/>
      <c r="AF159" s="252"/>
      <c r="AG159" s="252"/>
      <c r="AH159" s="252"/>
      <c r="AI159" s="252"/>
      <c r="AJ159" s="252"/>
      <c r="AK159" s="252"/>
      <c r="AL159" s="252"/>
      <c r="AM159" s="252"/>
      <c r="AN159" s="252"/>
      <c r="AO159" s="252"/>
      <c r="AP159" s="252"/>
      <c r="AQ159" s="252"/>
      <c r="AR159" s="252"/>
      <c r="AS159" s="252"/>
      <c r="AT159" s="252"/>
      <c r="AU159" s="252"/>
      <c r="AV159" s="252"/>
      <c r="AW159" s="252"/>
    </row>
    <row r="160" spans="1:49" ht="14" x14ac:dyDescent="0.15">
      <c r="A160" s="252"/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  <c r="AH160" s="252"/>
      <c r="AI160" s="252"/>
      <c r="AJ160" s="252"/>
      <c r="AK160" s="252"/>
      <c r="AL160" s="252"/>
      <c r="AM160" s="252"/>
      <c r="AN160" s="252"/>
      <c r="AO160" s="252"/>
      <c r="AP160" s="252"/>
      <c r="AQ160" s="252"/>
      <c r="AR160" s="252"/>
      <c r="AS160" s="252"/>
      <c r="AT160" s="252"/>
      <c r="AU160" s="252"/>
      <c r="AV160" s="252"/>
      <c r="AW160" s="252"/>
    </row>
    <row r="161" spans="1:49" ht="14" x14ac:dyDescent="0.15">
      <c r="A161" s="252"/>
      <c r="B161" s="252"/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  <c r="AA161" s="252"/>
      <c r="AB161" s="252"/>
      <c r="AC161" s="252"/>
      <c r="AD161" s="252"/>
      <c r="AE161" s="252"/>
      <c r="AF161" s="252"/>
      <c r="AG161" s="252"/>
      <c r="AH161" s="252"/>
      <c r="AI161" s="252"/>
      <c r="AJ161" s="252"/>
      <c r="AK161" s="252"/>
      <c r="AL161" s="252"/>
      <c r="AM161" s="252"/>
      <c r="AN161" s="252"/>
      <c r="AO161" s="252"/>
      <c r="AP161" s="252"/>
      <c r="AQ161" s="252"/>
      <c r="AR161" s="252"/>
      <c r="AS161" s="252"/>
      <c r="AT161" s="252"/>
      <c r="AU161" s="252"/>
      <c r="AV161" s="252"/>
      <c r="AW161" s="252"/>
    </row>
    <row r="162" spans="1:49" ht="14" x14ac:dyDescent="0.15">
      <c r="A162" s="252"/>
      <c r="B162" s="252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  <c r="AA162" s="252"/>
      <c r="AB162" s="252"/>
      <c r="AC162" s="252"/>
      <c r="AD162" s="252"/>
      <c r="AE162" s="252"/>
      <c r="AF162" s="252"/>
      <c r="AG162" s="252"/>
      <c r="AH162" s="252"/>
      <c r="AI162" s="252"/>
      <c r="AJ162" s="252"/>
      <c r="AK162" s="252"/>
      <c r="AL162" s="252"/>
      <c r="AM162" s="252"/>
      <c r="AN162" s="252"/>
      <c r="AO162" s="252"/>
      <c r="AP162" s="252"/>
      <c r="AQ162" s="252"/>
      <c r="AR162" s="252"/>
      <c r="AS162" s="252"/>
      <c r="AT162" s="252"/>
      <c r="AU162" s="252"/>
      <c r="AV162" s="252"/>
      <c r="AW162" s="252"/>
    </row>
    <row r="163" spans="1:49" ht="14" x14ac:dyDescent="0.15">
      <c r="A163" s="252"/>
      <c r="B163" s="252"/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  <c r="AA163" s="252"/>
      <c r="AB163" s="252"/>
      <c r="AC163" s="252"/>
      <c r="AD163" s="252"/>
      <c r="AE163" s="252"/>
      <c r="AF163" s="252"/>
      <c r="AG163" s="252"/>
      <c r="AH163" s="252"/>
      <c r="AI163" s="252"/>
      <c r="AJ163" s="252"/>
      <c r="AK163" s="252"/>
      <c r="AL163" s="252"/>
      <c r="AM163" s="252"/>
      <c r="AN163" s="252"/>
      <c r="AO163" s="252"/>
      <c r="AP163" s="252"/>
      <c r="AQ163" s="252"/>
      <c r="AR163" s="252"/>
      <c r="AS163" s="252"/>
      <c r="AT163" s="252"/>
      <c r="AU163" s="252"/>
      <c r="AV163" s="252"/>
      <c r="AW163" s="252"/>
    </row>
    <row r="164" spans="1:49" ht="14" x14ac:dyDescent="0.15">
      <c r="A164" s="252"/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  <c r="AA164" s="252"/>
      <c r="AB164" s="252"/>
      <c r="AC164" s="252"/>
      <c r="AD164" s="252"/>
      <c r="AE164" s="252"/>
      <c r="AF164" s="252"/>
      <c r="AG164" s="252"/>
      <c r="AH164" s="252"/>
      <c r="AI164" s="252"/>
      <c r="AJ164" s="252"/>
      <c r="AK164" s="252"/>
      <c r="AL164" s="252"/>
      <c r="AM164" s="252"/>
      <c r="AN164" s="252"/>
      <c r="AO164" s="252"/>
      <c r="AP164" s="252"/>
      <c r="AQ164" s="252"/>
      <c r="AR164" s="252"/>
      <c r="AS164" s="252"/>
      <c r="AT164" s="252"/>
      <c r="AU164" s="252"/>
      <c r="AV164" s="252"/>
      <c r="AW164" s="252"/>
    </row>
    <row r="165" spans="1:49" ht="14" x14ac:dyDescent="0.15">
      <c r="A165" s="252"/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  <c r="AA165" s="252"/>
      <c r="AB165" s="252"/>
      <c r="AC165" s="252"/>
      <c r="AD165" s="252"/>
      <c r="AE165" s="252"/>
      <c r="AF165" s="252"/>
      <c r="AG165" s="252"/>
      <c r="AH165" s="252"/>
      <c r="AI165" s="252"/>
      <c r="AJ165" s="252"/>
      <c r="AK165" s="252"/>
      <c r="AL165" s="252"/>
      <c r="AM165" s="252"/>
      <c r="AN165" s="252"/>
      <c r="AO165" s="252"/>
      <c r="AP165" s="252"/>
      <c r="AQ165" s="252"/>
      <c r="AR165" s="252"/>
      <c r="AS165" s="252"/>
      <c r="AT165" s="252"/>
      <c r="AU165" s="252"/>
      <c r="AV165" s="252"/>
      <c r="AW165" s="252"/>
    </row>
    <row r="166" spans="1:49" ht="14" x14ac:dyDescent="0.15">
      <c r="A166" s="252"/>
      <c r="B166" s="252"/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  <c r="AP166" s="252"/>
      <c r="AQ166" s="252"/>
      <c r="AR166" s="252"/>
      <c r="AS166" s="252"/>
      <c r="AT166" s="252"/>
      <c r="AU166" s="252"/>
      <c r="AV166" s="252"/>
      <c r="AW166" s="252"/>
    </row>
    <row r="167" spans="1:49" ht="14" x14ac:dyDescent="0.15">
      <c r="A167" s="252"/>
      <c r="B167" s="252"/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P167" s="252"/>
      <c r="AQ167" s="252"/>
      <c r="AR167" s="252"/>
      <c r="AS167" s="252"/>
      <c r="AT167" s="252"/>
      <c r="AU167" s="252"/>
      <c r="AV167" s="252"/>
      <c r="AW167" s="252"/>
    </row>
    <row r="168" spans="1:49" ht="14" x14ac:dyDescent="0.15">
      <c r="A168" s="252"/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  <c r="AJ168" s="252"/>
      <c r="AK168" s="252"/>
      <c r="AL168" s="252"/>
      <c r="AM168" s="252"/>
      <c r="AN168" s="252"/>
      <c r="AO168" s="252"/>
      <c r="AP168" s="252"/>
      <c r="AQ168" s="252"/>
      <c r="AR168" s="252"/>
      <c r="AS168" s="252"/>
      <c r="AT168" s="252"/>
      <c r="AU168" s="252"/>
      <c r="AV168" s="252"/>
      <c r="AW168" s="252"/>
    </row>
    <row r="169" spans="1:49" ht="14" x14ac:dyDescent="0.15">
      <c r="A169" s="252"/>
      <c r="B169" s="252"/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  <c r="AJ169" s="252"/>
      <c r="AK169" s="252"/>
      <c r="AL169" s="252"/>
      <c r="AM169" s="252"/>
      <c r="AN169" s="252"/>
      <c r="AO169" s="252"/>
      <c r="AP169" s="252"/>
      <c r="AQ169" s="252"/>
      <c r="AR169" s="252"/>
      <c r="AS169" s="252"/>
      <c r="AT169" s="252"/>
      <c r="AU169" s="252"/>
      <c r="AV169" s="252"/>
      <c r="AW169" s="252"/>
    </row>
    <row r="170" spans="1:49" ht="14" x14ac:dyDescent="0.15">
      <c r="A170" s="252"/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  <c r="AA170" s="252"/>
      <c r="AB170" s="252"/>
      <c r="AC170" s="252"/>
      <c r="AD170" s="252"/>
      <c r="AE170" s="252"/>
      <c r="AF170" s="252"/>
      <c r="AG170" s="252"/>
      <c r="AH170" s="252"/>
      <c r="AI170" s="252"/>
      <c r="AJ170" s="252"/>
      <c r="AK170" s="252"/>
      <c r="AL170" s="252"/>
      <c r="AM170" s="252"/>
      <c r="AN170" s="252"/>
      <c r="AO170" s="252"/>
      <c r="AP170" s="252"/>
      <c r="AQ170" s="252"/>
      <c r="AR170" s="252"/>
      <c r="AS170" s="252"/>
      <c r="AT170" s="252"/>
      <c r="AU170" s="252"/>
      <c r="AV170" s="252"/>
      <c r="AW170" s="252"/>
    </row>
    <row r="171" spans="1:49" ht="14" x14ac:dyDescent="0.15">
      <c r="A171" s="252"/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  <c r="AA171" s="252"/>
      <c r="AB171" s="252"/>
      <c r="AC171" s="252"/>
      <c r="AD171" s="252"/>
      <c r="AE171" s="252"/>
      <c r="AF171" s="252"/>
      <c r="AG171" s="252"/>
      <c r="AH171" s="252"/>
      <c r="AI171" s="252"/>
      <c r="AJ171" s="252"/>
      <c r="AK171" s="252"/>
      <c r="AL171" s="252"/>
      <c r="AM171" s="252"/>
      <c r="AN171" s="252"/>
      <c r="AO171" s="252"/>
      <c r="AP171" s="252"/>
      <c r="AQ171" s="252"/>
      <c r="AR171" s="252"/>
      <c r="AS171" s="252"/>
      <c r="AT171" s="252"/>
      <c r="AU171" s="252"/>
      <c r="AV171" s="252"/>
      <c r="AW171" s="252"/>
    </row>
    <row r="172" spans="1:49" ht="14" x14ac:dyDescent="0.15">
      <c r="A172" s="252"/>
      <c r="B172" s="252"/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  <c r="AA172" s="252"/>
      <c r="AB172" s="252"/>
      <c r="AC172" s="252"/>
      <c r="AD172" s="252"/>
      <c r="AE172" s="252"/>
      <c r="AF172" s="252"/>
      <c r="AG172" s="252"/>
      <c r="AH172" s="252"/>
      <c r="AI172" s="252"/>
      <c r="AJ172" s="252"/>
      <c r="AK172" s="252"/>
      <c r="AL172" s="252"/>
      <c r="AM172" s="252"/>
      <c r="AN172" s="252"/>
      <c r="AO172" s="252"/>
      <c r="AP172" s="252"/>
      <c r="AQ172" s="252"/>
      <c r="AR172" s="252"/>
      <c r="AS172" s="252"/>
      <c r="AT172" s="252"/>
      <c r="AU172" s="252"/>
      <c r="AV172" s="252"/>
      <c r="AW172" s="252"/>
    </row>
    <row r="173" spans="1:49" ht="14" x14ac:dyDescent="0.15">
      <c r="A173" s="252"/>
      <c r="B173" s="252"/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  <c r="AA173" s="252"/>
      <c r="AB173" s="252"/>
      <c r="AC173" s="252"/>
      <c r="AD173" s="252"/>
      <c r="AE173" s="252"/>
      <c r="AF173" s="252"/>
      <c r="AG173" s="252"/>
      <c r="AH173" s="252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2"/>
      <c r="AU173" s="252"/>
      <c r="AV173" s="252"/>
      <c r="AW173" s="252"/>
    </row>
    <row r="174" spans="1:49" ht="14" x14ac:dyDescent="0.15">
      <c r="A174" s="252"/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2"/>
      <c r="AA174" s="252"/>
      <c r="AB174" s="252"/>
      <c r="AC174" s="252"/>
      <c r="AD174" s="252"/>
      <c r="AE174" s="252"/>
      <c r="AF174" s="252"/>
      <c r="AG174" s="252"/>
      <c r="AH174" s="252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2"/>
      <c r="AU174" s="252"/>
      <c r="AV174" s="252"/>
      <c r="AW174" s="252"/>
    </row>
    <row r="175" spans="1:49" ht="14" x14ac:dyDescent="0.15">
      <c r="A175" s="252"/>
      <c r="B175" s="252"/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  <c r="AA175" s="252"/>
      <c r="AB175" s="252"/>
      <c r="AC175" s="252"/>
      <c r="AD175" s="252"/>
      <c r="AE175" s="252"/>
      <c r="AF175" s="252"/>
      <c r="AG175" s="252"/>
      <c r="AH175" s="252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2"/>
      <c r="AU175" s="252"/>
      <c r="AV175" s="252"/>
      <c r="AW175" s="252"/>
    </row>
    <row r="176" spans="1:49" ht="14" x14ac:dyDescent="0.15">
      <c r="A176" s="252"/>
      <c r="B176" s="252"/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2"/>
      <c r="AU176" s="252"/>
      <c r="AV176" s="252"/>
      <c r="AW176" s="252"/>
    </row>
    <row r="177" spans="1:49" ht="14" x14ac:dyDescent="0.15">
      <c r="A177" s="252"/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  <c r="AA177" s="252"/>
      <c r="AB177" s="252"/>
      <c r="AC177" s="252"/>
      <c r="AD177" s="252"/>
      <c r="AE177" s="252"/>
      <c r="AF177" s="252"/>
      <c r="AG177" s="252"/>
      <c r="AH177" s="252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2"/>
      <c r="AU177" s="252"/>
      <c r="AV177" s="252"/>
      <c r="AW177" s="252"/>
    </row>
    <row r="178" spans="1:49" ht="14" x14ac:dyDescent="0.15">
      <c r="A178" s="252"/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2"/>
      <c r="AU178" s="252"/>
      <c r="AV178" s="252"/>
      <c r="AW178" s="252"/>
    </row>
    <row r="179" spans="1:49" ht="14" x14ac:dyDescent="0.15">
      <c r="A179" s="252"/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  <c r="AA179" s="252"/>
      <c r="AB179" s="252"/>
      <c r="AC179" s="252"/>
      <c r="AD179" s="252"/>
      <c r="AE179" s="252"/>
      <c r="AF179" s="252"/>
      <c r="AG179" s="252"/>
      <c r="AH179" s="252"/>
      <c r="AI179" s="252"/>
      <c r="AJ179" s="252"/>
      <c r="AK179" s="252"/>
      <c r="AL179" s="252"/>
      <c r="AM179" s="252"/>
      <c r="AN179" s="252"/>
      <c r="AO179" s="252"/>
      <c r="AP179" s="252"/>
      <c r="AQ179" s="252"/>
      <c r="AR179" s="252"/>
      <c r="AS179" s="252"/>
      <c r="AT179" s="252"/>
      <c r="AU179" s="252"/>
      <c r="AV179" s="252"/>
      <c r="AW179" s="252"/>
    </row>
    <row r="180" spans="1:49" ht="14" x14ac:dyDescent="0.15">
      <c r="A180" s="252"/>
      <c r="B180" s="252"/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  <c r="AA180" s="252"/>
      <c r="AB180" s="252"/>
      <c r="AC180" s="252"/>
      <c r="AD180" s="252"/>
      <c r="AE180" s="252"/>
      <c r="AF180" s="252"/>
      <c r="AG180" s="252"/>
      <c r="AH180" s="252"/>
      <c r="AI180" s="252"/>
      <c r="AJ180" s="252"/>
      <c r="AK180" s="252"/>
      <c r="AL180" s="252"/>
      <c r="AM180" s="252"/>
      <c r="AN180" s="252"/>
      <c r="AO180" s="252"/>
      <c r="AP180" s="252"/>
      <c r="AQ180" s="252"/>
      <c r="AR180" s="252"/>
      <c r="AS180" s="252"/>
      <c r="AT180" s="252"/>
      <c r="AU180" s="252"/>
      <c r="AV180" s="252"/>
      <c r="AW180" s="252"/>
    </row>
    <row r="181" spans="1:49" ht="14" x14ac:dyDescent="0.15">
      <c r="A181" s="252"/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  <c r="AA181" s="252"/>
      <c r="AB181" s="252"/>
      <c r="AC181" s="252"/>
      <c r="AD181" s="252"/>
      <c r="AE181" s="252"/>
      <c r="AF181" s="252"/>
      <c r="AG181" s="252"/>
      <c r="AH181" s="252"/>
      <c r="AI181" s="252"/>
      <c r="AJ181" s="252"/>
      <c r="AK181" s="252"/>
      <c r="AL181" s="252"/>
      <c r="AM181" s="252"/>
      <c r="AN181" s="252"/>
      <c r="AO181" s="252"/>
      <c r="AP181" s="252"/>
      <c r="AQ181" s="252"/>
      <c r="AR181" s="252"/>
      <c r="AS181" s="252"/>
      <c r="AT181" s="252"/>
      <c r="AU181" s="252"/>
      <c r="AV181" s="252"/>
      <c r="AW181" s="252"/>
    </row>
    <row r="182" spans="1:49" ht="14" x14ac:dyDescent="0.15">
      <c r="A182" s="252"/>
      <c r="B182" s="252"/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  <c r="AA182" s="252"/>
      <c r="AB182" s="252"/>
      <c r="AC182" s="252"/>
      <c r="AD182" s="252"/>
      <c r="AE182" s="252"/>
      <c r="AF182" s="252"/>
      <c r="AG182" s="252"/>
      <c r="AH182" s="252"/>
      <c r="AI182" s="252"/>
      <c r="AJ182" s="252"/>
      <c r="AK182" s="252"/>
      <c r="AL182" s="252"/>
      <c r="AM182" s="252"/>
      <c r="AN182" s="252"/>
      <c r="AO182" s="252"/>
      <c r="AP182" s="252"/>
      <c r="AQ182" s="252"/>
      <c r="AR182" s="252"/>
      <c r="AS182" s="252"/>
      <c r="AT182" s="252"/>
      <c r="AU182" s="252"/>
      <c r="AV182" s="252"/>
      <c r="AW182" s="252"/>
    </row>
    <row r="183" spans="1:49" ht="14" x14ac:dyDescent="0.15">
      <c r="A183" s="252"/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  <c r="AA183" s="252"/>
      <c r="AB183" s="252"/>
      <c r="AC183" s="252"/>
      <c r="AD183" s="252"/>
      <c r="AE183" s="252"/>
      <c r="AF183" s="252"/>
      <c r="AG183" s="252"/>
      <c r="AH183" s="252"/>
      <c r="AI183" s="252"/>
      <c r="AJ183" s="252"/>
      <c r="AK183" s="252"/>
      <c r="AL183" s="252"/>
      <c r="AM183" s="252"/>
      <c r="AN183" s="252"/>
      <c r="AO183" s="252"/>
      <c r="AP183" s="252"/>
      <c r="AQ183" s="252"/>
      <c r="AR183" s="252"/>
      <c r="AS183" s="252"/>
      <c r="AT183" s="252"/>
      <c r="AU183" s="252"/>
      <c r="AV183" s="252"/>
      <c r="AW183" s="252"/>
    </row>
    <row r="184" spans="1:49" ht="14" x14ac:dyDescent="0.15">
      <c r="A184" s="252"/>
      <c r="B184" s="252"/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  <c r="AA184" s="252"/>
      <c r="AB184" s="252"/>
      <c r="AC184" s="252"/>
      <c r="AD184" s="252"/>
      <c r="AE184" s="252"/>
      <c r="AF184" s="252"/>
      <c r="AG184" s="252"/>
      <c r="AH184" s="252"/>
      <c r="AI184" s="252"/>
      <c r="AJ184" s="252"/>
      <c r="AK184" s="252"/>
      <c r="AL184" s="252"/>
      <c r="AM184" s="252"/>
      <c r="AN184" s="252"/>
      <c r="AO184" s="252"/>
      <c r="AP184" s="252"/>
      <c r="AQ184" s="252"/>
      <c r="AR184" s="252"/>
      <c r="AS184" s="252"/>
      <c r="AT184" s="252"/>
      <c r="AU184" s="252"/>
      <c r="AV184" s="252"/>
      <c r="AW184" s="252"/>
    </row>
    <row r="185" spans="1:49" ht="14" x14ac:dyDescent="0.15">
      <c r="A185" s="252"/>
      <c r="B185" s="252"/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  <c r="AA185" s="252"/>
      <c r="AB185" s="252"/>
      <c r="AC185" s="252"/>
      <c r="AD185" s="252"/>
      <c r="AE185" s="252"/>
      <c r="AF185" s="252"/>
      <c r="AG185" s="252"/>
      <c r="AH185" s="252"/>
      <c r="AI185" s="252"/>
      <c r="AJ185" s="252"/>
      <c r="AK185" s="252"/>
      <c r="AL185" s="252"/>
      <c r="AM185" s="252"/>
      <c r="AN185" s="252"/>
      <c r="AO185" s="252"/>
      <c r="AP185" s="252"/>
      <c r="AQ185" s="252"/>
      <c r="AR185" s="252"/>
      <c r="AS185" s="252"/>
      <c r="AT185" s="252"/>
      <c r="AU185" s="252"/>
      <c r="AV185" s="252"/>
      <c r="AW185" s="252"/>
    </row>
    <row r="186" spans="1:49" ht="14" x14ac:dyDescent="0.15">
      <c r="A186" s="252"/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  <c r="AA186" s="252"/>
      <c r="AB186" s="252"/>
      <c r="AC186" s="252"/>
      <c r="AD186" s="252"/>
      <c r="AE186" s="252"/>
      <c r="AF186" s="252"/>
      <c r="AG186" s="252"/>
      <c r="AH186" s="252"/>
      <c r="AI186" s="252"/>
      <c r="AJ186" s="252"/>
      <c r="AK186" s="252"/>
      <c r="AL186" s="252"/>
      <c r="AM186" s="252"/>
      <c r="AN186" s="252"/>
      <c r="AO186" s="252"/>
      <c r="AP186" s="252"/>
      <c r="AQ186" s="252"/>
      <c r="AR186" s="252"/>
      <c r="AS186" s="252"/>
      <c r="AT186" s="252"/>
      <c r="AU186" s="252"/>
      <c r="AV186" s="252"/>
      <c r="AW186" s="252"/>
    </row>
    <row r="187" spans="1:49" ht="14" x14ac:dyDescent="0.15">
      <c r="A187" s="252"/>
      <c r="B187" s="252"/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  <c r="AA187" s="252"/>
      <c r="AB187" s="252"/>
      <c r="AC187" s="252"/>
      <c r="AD187" s="252"/>
      <c r="AE187" s="252"/>
      <c r="AF187" s="252"/>
      <c r="AG187" s="252"/>
      <c r="AH187" s="252"/>
      <c r="AI187" s="252"/>
      <c r="AJ187" s="252"/>
      <c r="AK187" s="252"/>
      <c r="AL187" s="252"/>
      <c r="AM187" s="252"/>
      <c r="AN187" s="252"/>
      <c r="AO187" s="252"/>
      <c r="AP187" s="252"/>
      <c r="AQ187" s="252"/>
      <c r="AR187" s="252"/>
      <c r="AS187" s="252"/>
      <c r="AT187" s="252"/>
      <c r="AU187" s="252"/>
      <c r="AV187" s="252"/>
      <c r="AW187" s="252"/>
    </row>
    <row r="188" spans="1:49" ht="14" x14ac:dyDescent="0.15">
      <c r="A188" s="252"/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  <c r="AA188" s="252"/>
      <c r="AB188" s="252"/>
      <c r="AC188" s="252"/>
      <c r="AD188" s="252"/>
      <c r="AE188" s="252"/>
      <c r="AF188" s="252"/>
      <c r="AG188" s="252"/>
      <c r="AH188" s="252"/>
      <c r="AI188" s="252"/>
      <c r="AJ188" s="252"/>
      <c r="AK188" s="252"/>
      <c r="AL188" s="252"/>
      <c r="AM188" s="252"/>
      <c r="AN188" s="252"/>
      <c r="AO188" s="252"/>
      <c r="AP188" s="252"/>
      <c r="AQ188" s="252"/>
      <c r="AR188" s="252"/>
      <c r="AS188" s="252"/>
      <c r="AT188" s="252"/>
      <c r="AU188" s="252"/>
      <c r="AV188" s="252"/>
      <c r="AW188" s="252"/>
    </row>
    <row r="189" spans="1:49" ht="14" x14ac:dyDescent="0.15">
      <c r="A189" s="252"/>
      <c r="B189" s="252"/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  <c r="Z189" s="252"/>
      <c r="AA189" s="252"/>
      <c r="AB189" s="252"/>
      <c r="AC189" s="252"/>
      <c r="AD189" s="252"/>
      <c r="AE189" s="252"/>
      <c r="AF189" s="252"/>
      <c r="AG189" s="252"/>
      <c r="AH189" s="252"/>
      <c r="AI189" s="252"/>
      <c r="AJ189" s="252"/>
      <c r="AK189" s="252"/>
      <c r="AL189" s="252"/>
      <c r="AM189" s="252"/>
      <c r="AN189" s="252"/>
      <c r="AO189" s="252"/>
      <c r="AP189" s="252"/>
      <c r="AQ189" s="252"/>
      <c r="AR189" s="252"/>
      <c r="AS189" s="252"/>
      <c r="AT189" s="252"/>
      <c r="AU189" s="252"/>
      <c r="AV189" s="252"/>
      <c r="AW189" s="252"/>
    </row>
    <row r="190" spans="1:49" ht="14" x14ac:dyDescent="0.15">
      <c r="A190" s="252"/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Z190" s="252"/>
      <c r="AA190" s="252"/>
      <c r="AB190" s="252"/>
      <c r="AC190" s="252"/>
      <c r="AD190" s="252"/>
      <c r="AE190" s="252"/>
      <c r="AF190" s="252"/>
      <c r="AG190" s="252"/>
      <c r="AH190" s="252"/>
      <c r="AI190" s="252"/>
      <c r="AJ190" s="252"/>
      <c r="AK190" s="252"/>
      <c r="AL190" s="252"/>
      <c r="AM190" s="252"/>
      <c r="AN190" s="252"/>
      <c r="AO190" s="252"/>
      <c r="AP190" s="252"/>
      <c r="AQ190" s="252"/>
      <c r="AR190" s="252"/>
      <c r="AS190" s="252"/>
      <c r="AT190" s="252"/>
      <c r="AU190" s="252"/>
      <c r="AV190" s="252"/>
      <c r="AW190" s="252"/>
    </row>
    <row r="191" spans="1:49" ht="14" x14ac:dyDescent="0.15">
      <c r="A191" s="252"/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  <c r="AA191" s="252"/>
      <c r="AB191" s="252"/>
      <c r="AC191" s="252"/>
      <c r="AD191" s="252"/>
      <c r="AE191" s="252"/>
      <c r="AF191" s="252"/>
      <c r="AG191" s="252"/>
      <c r="AH191" s="252"/>
      <c r="AI191" s="252"/>
      <c r="AJ191" s="252"/>
      <c r="AK191" s="252"/>
      <c r="AL191" s="252"/>
      <c r="AM191" s="252"/>
      <c r="AN191" s="252"/>
      <c r="AO191" s="252"/>
      <c r="AP191" s="252"/>
      <c r="AQ191" s="252"/>
      <c r="AR191" s="252"/>
      <c r="AS191" s="252"/>
      <c r="AT191" s="252"/>
      <c r="AU191" s="252"/>
      <c r="AV191" s="252"/>
      <c r="AW191" s="252"/>
    </row>
    <row r="192" spans="1:49" ht="14" x14ac:dyDescent="0.15">
      <c r="A192" s="252"/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  <c r="Z192" s="252"/>
      <c r="AA192" s="252"/>
      <c r="AB192" s="252"/>
      <c r="AC192" s="252"/>
      <c r="AD192" s="252"/>
      <c r="AE192" s="252"/>
      <c r="AF192" s="252"/>
      <c r="AG192" s="252"/>
      <c r="AH192" s="252"/>
      <c r="AI192" s="252"/>
      <c r="AJ192" s="252"/>
      <c r="AK192" s="252"/>
      <c r="AL192" s="252"/>
      <c r="AM192" s="252"/>
      <c r="AN192" s="252"/>
      <c r="AO192" s="252"/>
      <c r="AP192" s="252"/>
      <c r="AQ192" s="252"/>
      <c r="AR192" s="252"/>
      <c r="AS192" s="252"/>
      <c r="AT192" s="252"/>
      <c r="AU192" s="252"/>
      <c r="AV192" s="252"/>
      <c r="AW192" s="252"/>
    </row>
    <row r="193" spans="1:49" ht="14" x14ac:dyDescent="0.15">
      <c r="A193" s="252"/>
      <c r="B193" s="252"/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  <c r="AA193" s="252"/>
      <c r="AB193" s="252"/>
      <c r="AC193" s="252"/>
      <c r="AD193" s="252"/>
      <c r="AE193" s="252"/>
      <c r="AF193" s="252"/>
      <c r="AG193" s="252"/>
      <c r="AH193" s="252"/>
      <c r="AI193" s="252"/>
      <c r="AJ193" s="252"/>
      <c r="AK193" s="252"/>
      <c r="AL193" s="252"/>
      <c r="AM193" s="252"/>
      <c r="AN193" s="252"/>
      <c r="AO193" s="252"/>
      <c r="AP193" s="252"/>
      <c r="AQ193" s="252"/>
      <c r="AR193" s="252"/>
      <c r="AS193" s="252"/>
      <c r="AT193" s="252"/>
      <c r="AU193" s="252"/>
      <c r="AV193" s="252"/>
      <c r="AW193" s="252"/>
    </row>
    <row r="194" spans="1:49" ht="14" x14ac:dyDescent="0.15">
      <c r="A194" s="252"/>
      <c r="B194" s="252"/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  <c r="AA194" s="252"/>
      <c r="AB194" s="252"/>
      <c r="AC194" s="252"/>
      <c r="AD194" s="252"/>
      <c r="AE194" s="252"/>
      <c r="AF194" s="252"/>
      <c r="AG194" s="252"/>
      <c r="AH194" s="252"/>
      <c r="AI194" s="252"/>
      <c r="AJ194" s="252"/>
      <c r="AK194" s="252"/>
      <c r="AL194" s="252"/>
      <c r="AM194" s="252"/>
      <c r="AN194" s="252"/>
      <c r="AO194" s="252"/>
      <c r="AP194" s="252"/>
      <c r="AQ194" s="252"/>
      <c r="AR194" s="252"/>
      <c r="AS194" s="252"/>
      <c r="AT194" s="252"/>
      <c r="AU194" s="252"/>
      <c r="AV194" s="252"/>
      <c r="AW194" s="252"/>
    </row>
    <row r="195" spans="1:49" ht="14" x14ac:dyDescent="0.15">
      <c r="A195" s="252"/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  <c r="AA195" s="252"/>
      <c r="AB195" s="252"/>
      <c r="AC195" s="252"/>
      <c r="AD195" s="252"/>
      <c r="AE195" s="252"/>
      <c r="AF195" s="252"/>
      <c r="AG195" s="252"/>
      <c r="AH195" s="252"/>
      <c r="AI195" s="252"/>
      <c r="AJ195" s="252"/>
      <c r="AK195" s="252"/>
      <c r="AL195" s="252"/>
      <c r="AM195" s="252"/>
      <c r="AN195" s="252"/>
      <c r="AO195" s="252"/>
      <c r="AP195" s="252"/>
      <c r="AQ195" s="252"/>
      <c r="AR195" s="252"/>
      <c r="AS195" s="252"/>
      <c r="AT195" s="252"/>
      <c r="AU195" s="252"/>
      <c r="AV195" s="252"/>
      <c r="AW195" s="252"/>
    </row>
    <row r="196" spans="1:49" ht="14" x14ac:dyDescent="0.15">
      <c r="A196" s="252"/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52"/>
      <c r="AS196" s="252"/>
      <c r="AT196" s="252"/>
      <c r="AU196" s="252"/>
      <c r="AV196" s="252"/>
      <c r="AW196" s="252"/>
    </row>
    <row r="197" spans="1:49" ht="14" x14ac:dyDescent="0.15">
      <c r="A197" s="252"/>
      <c r="B197" s="252"/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  <c r="AJ197" s="252"/>
      <c r="AK197" s="252"/>
      <c r="AL197" s="252"/>
      <c r="AM197" s="252"/>
      <c r="AN197" s="252"/>
      <c r="AO197" s="252"/>
      <c r="AP197" s="252"/>
      <c r="AQ197" s="252"/>
      <c r="AR197" s="252"/>
      <c r="AS197" s="252"/>
      <c r="AT197" s="252"/>
      <c r="AU197" s="252"/>
      <c r="AV197" s="252"/>
      <c r="AW197" s="252"/>
    </row>
    <row r="198" spans="1:49" ht="14" x14ac:dyDescent="0.15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  <c r="Y198" s="252"/>
      <c r="Z198" s="252"/>
      <c r="AA198" s="252"/>
      <c r="AB198" s="252"/>
      <c r="AC198" s="252"/>
      <c r="AD198" s="252"/>
      <c r="AE198" s="252"/>
      <c r="AF198" s="252"/>
      <c r="AG198" s="252"/>
      <c r="AH198" s="252"/>
      <c r="AI198" s="252"/>
      <c r="AJ198" s="252"/>
      <c r="AK198" s="252"/>
      <c r="AL198" s="252"/>
      <c r="AM198" s="252"/>
      <c r="AN198" s="252"/>
      <c r="AO198" s="252"/>
      <c r="AP198" s="252"/>
      <c r="AQ198" s="252"/>
      <c r="AR198" s="252"/>
      <c r="AS198" s="252"/>
      <c r="AT198" s="252"/>
      <c r="AU198" s="252"/>
      <c r="AV198" s="252"/>
      <c r="AW198" s="252"/>
    </row>
    <row r="199" spans="1:49" ht="14" x14ac:dyDescent="0.15">
      <c r="A199" s="252"/>
      <c r="B199" s="252"/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  <c r="Z199" s="252"/>
      <c r="AA199" s="252"/>
      <c r="AB199" s="252"/>
      <c r="AC199" s="252"/>
      <c r="AD199" s="252"/>
      <c r="AE199" s="252"/>
      <c r="AF199" s="252"/>
      <c r="AG199" s="252"/>
      <c r="AH199" s="252"/>
      <c r="AI199" s="252"/>
      <c r="AJ199" s="252"/>
      <c r="AK199" s="252"/>
      <c r="AL199" s="252"/>
      <c r="AM199" s="252"/>
      <c r="AN199" s="252"/>
      <c r="AO199" s="252"/>
      <c r="AP199" s="252"/>
      <c r="AQ199" s="252"/>
      <c r="AR199" s="252"/>
      <c r="AS199" s="252"/>
      <c r="AT199" s="252"/>
      <c r="AU199" s="252"/>
      <c r="AV199" s="252"/>
      <c r="AW199" s="252"/>
    </row>
    <row r="200" spans="1:49" ht="14" x14ac:dyDescent="0.15">
      <c r="A200" s="252"/>
      <c r="B200" s="252"/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  <c r="AA200" s="252"/>
      <c r="AB200" s="252"/>
      <c r="AC200" s="252"/>
      <c r="AD200" s="252"/>
      <c r="AE200" s="252"/>
      <c r="AF200" s="252"/>
      <c r="AG200" s="252"/>
      <c r="AH200" s="252"/>
      <c r="AI200" s="252"/>
      <c r="AJ200" s="252"/>
      <c r="AK200" s="252"/>
      <c r="AL200" s="252"/>
      <c r="AM200" s="252"/>
      <c r="AN200" s="252"/>
      <c r="AO200" s="252"/>
      <c r="AP200" s="252"/>
      <c r="AQ200" s="252"/>
      <c r="AR200" s="252"/>
      <c r="AS200" s="252"/>
      <c r="AT200" s="252"/>
      <c r="AU200" s="252"/>
      <c r="AV200" s="252"/>
      <c r="AW200" s="252"/>
    </row>
    <row r="201" spans="1:49" ht="14" x14ac:dyDescent="0.15">
      <c r="A201" s="252"/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  <c r="AA201" s="252"/>
      <c r="AB201" s="252"/>
      <c r="AC201" s="252"/>
      <c r="AD201" s="252"/>
      <c r="AE201" s="252"/>
      <c r="AF201" s="252"/>
      <c r="AG201" s="252"/>
      <c r="AH201" s="252"/>
      <c r="AI201" s="252"/>
      <c r="AJ201" s="252"/>
      <c r="AK201" s="252"/>
      <c r="AL201" s="252"/>
      <c r="AM201" s="252"/>
      <c r="AN201" s="252"/>
      <c r="AO201" s="252"/>
      <c r="AP201" s="252"/>
      <c r="AQ201" s="252"/>
      <c r="AR201" s="252"/>
      <c r="AS201" s="252"/>
      <c r="AT201" s="252"/>
      <c r="AU201" s="252"/>
      <c r="AV201" s="252"/>
      <c r="AW201" s="252"/>
    </row>
    <row r="202" spans="1:49" ht="14" x14ac:dyDescent="0.15">
      <c r="A202" s="252"/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  <c r="AJ202" s="252"/>
      <c r="AK202" s="252"/>
      <c r="AL202" s="252"/>
      <c r="AM202" s="252"/>
      <c r="AN202" s="252"/>
      <c r="AO202" s="252"/>
      <c r="AP202" s="252"/>
      <c r="AQ202" s="252"/>
      <c r="AR202" s="252"/>
      <c r="AS202" s="252"/>
      <c r="AT202" s="252"/>
      <c r="AU202" s="252"/>
      <c r="AV202" s="252"/>
      <c r="AW202" s="252"/>
    </row>
    <row r="203" spans="1:49" ht="14" x14ac:dyDescent="0.15">
      <c r="A203" s="252"/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  <c r="AJ203" s="252"/>
      <c r="AK203" s="252"/>
      <c r="AL203" s="252"/>
      <c r="AM203" s="252"/>
      <c r="AN203" s="252"/>
      <c r="AO203" s="252"/>
      <c r="AP203" s="252"/>
      <c r="AQ203" s="252"/>
      <c r="AR203" s="252"/>
      <c r="AS203" s="252"/>
      <c r="AT203" s="252"/>
      <c r="AU203" s="252"/>
      <c r="AV203" s="252"/>
      <c r="AW203" s="252"/>
    </row>
    <row r="204" spans="1:49" ht="14" x14ac:dyDescent="0.15">
      <c r="A204" s="252"/>
      <c r="B204" s="252"/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  <c r="AA204" s="252"/>
      <c r="AB204" s="252"/>
      <c r="AC204" s="252"/>
      <c r="AD204" s="252"/>
      <c r="AE204" s="252"/>
      <c r="AF204" s="252"/>
      <c r="AG204" s="252"/>
      <c r="AH204" s="252"/>
      <c r="AI204" s="252"/>
      <c r="AJ204" s="252"/>
      <c r="AK204" s="252"/>
      <c r="AL204" s="252"/>
      <c r="AM204" s="252"/>
      <c r="AN204" s="252"/>
      <c r="AO204" s="252"/>
      <c r="AP204" s="252"/>
      <c r="AQ204" s="252"/>
      <c r="AR204" s="252"/>
      <c r="AS204" s="252"/>
      <c r="AT204" s="252"/>
      <c r="AU204" s="252"/>
      <c r="AV204" s="252"/>
      <c r="AW204" s="252"/>
    </row>
    <row r="205" spans="1:49" ht="14" x14ac:dyDescent="0.15">
      <c r="A205" s="252"/>
      <c r="B205" s="252"/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  <c r="AA205" s="252"/>
      <c r="AB205" s="252"/>
      <c r="AC205" s="252"/>
      <c r="AD205" s="252"/>
      <c r="AE205" s="252"/>
      <c r="AF205" s="252"/>
      <c r="AG205" s="252"/>
      <c r="AH205" s="252"/>
      <c r="AI205" s="252"/>
      <c r="AJ205" s="252"/>
      <c r="AK205" s="252"/>
      <c r="AL205" s="252"/>
      <c r="AM205" s="252"/>
      <c r="AN205" s="252"/>
      <c r="AO205" s="252"/>
      <c r="AP205" s="252"/>
      <c r="AQ205" s="252"/>
      <c r="AR205" s="252"/>
      <c r="AS205" s="252"/>
      <c r="AT205" s="252"/>
      <c r="AU205" s="252"/>
      <c r="AV205" s="252"/>
      <c r="AW205" s="252"/>
    </row>
    <row r="206" spans="1:49" ht="14" x14ac:dyDescent="0.15">
      <c r="A206" s="252"/>
      <c r="B206" s="252"/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  <c r="AA206" s="252"/>
      <c r="AB206" s="252"/>
      <c r="AC206" s="252"/>
      <c r="AD206" s="252"/>
      <c r="AE206" s="252"/>
      <c r="AF206" s="252"/>
      <c r="AG206" s="252"/>
      <c r="AH206" s="252"/>
      <c r="AI206" s="252"/>
      <c r="AJ206" s="252"/>
      <c r="AK206" s="252"/>
      <c r="AL206" s="252"/>
      <c r="AM206" s="252"/>
      <c r="AN206" s="252"/>
      <c r="AO206" s="252"/>
      <c r="AP206" s="252"/>
      <c r="AQ206" s="252"/>
      <c r="AR206" s="252"/>
      <c r="AS206" s="252"/>
      <c r="AT206" s="252"/>
      <c r="AU206" s="252"/>
      <c r="AV206" s="252"/>
      <c r="AW206" s="252"/>
    </row>
    <row r="207" spans="1:49" ht="14" x14ac:dyDescent="0.15">
      <c r="A207" s="252"/>
      <c r="B207" s="252"/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  <c r="Z207" s="252"/>
      <c r="AA207" s="252"/>
      <c r="AB207" s="252"/>
      <c r="AC207" s="252"/>
      <c r="AD207" s="252"/>
      <c r="AE207" s="252"/>
      <c r="AF207" s="252"/>
      <c r="AG207" s="252"/>
      <c r="AH207" s="252"/>
      <c r="AI207" s="252"/>
      <c r="AJ207" s="252"/>
      <c r="AK207" s="252"/>
      <c r="AL207" s="252"/>
      <c r="AM207" s="252"/>
      <c r="AN207" s="252"/>
      <c r="AO207" s="252"/>
      <c r="AP207" s="252"/>
      <c r="AQ207" s="252"/>
      <c r="AR207" s="252"/>
      <c r="AS207" s="252"/>
      <c r="AT207" s="252"/>
      <c r="AU207" s="252"/>
      <c r="AV207" s="252"/>
      <c r="AW207" s="252"/>
    </row>
    <row r="208" spans="1:49" ht="14" x14ac:dyDescent="0.15">
      <c r="A208" s="252"/>
      <c r="B208" s="252"/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  <c r="Y208" s="252"/>
      <c r="Z208" s="252"/>
      <c r="AA208" s="252"/>
      <c r="AB208" s="252"/>
      <c r="AC208" s="252"/>
      <c r="AD208" s="252"/>
      <c r="AE208" s="252"/>
      <c r="AF208" s="252"/>
      <c r="AG208" s="252"/>
      <c r="AH208" s="252"/>
      <c r="AI208" s="252"/>
      <c r="AJ208" s="252"/>
      <c r="AK208" s="252"/>
      <c r="AL208" s="252"/>
      <c r="AM208" s="252"/>
      <c r="AN208" s="252"/>
      <c r="AO208" s="252"/>
      <c r="AP208" s="252"/>
      <c r="AQ208" s="252"/>
      <c r="AR208" s="252"/>
      <c r="AS208" s="252"/>
      <c r="AT208" s="252"/>
      <c r="AU208" s="252"/>
      <c r="AV208" s="252"/>
      <c r="AW208" s="252"/>
    </row>
    <row r="209" spans="1:49" ht="14" x14ac:dyDescent="0.15">
      <c r="A209" s="252"/>
      <c r="B209" s="252"/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  <c r="Y209" s="252"/>
      <c r="Z209" s="252"/>
      <c r="AA209" s="252"/>
      <c r="AB209" s="252"/>
      <c r="AC209" s="252"/>
      <c r="AD209" s="252"/>
      <c r="AE209" s="252"/>
      <c r="AF209" s="252"/>
      <c r="AG209" s="252"/>
      <c r="AH209" s="252"/>
      <c r="AI209" s="252"/>
      <c r="AJ209" s="252"/>
      <c r="AK209" s="252"/>
      <c r="AL209" s="252"/>
      <c r="AM209" s="252"/>
      <c r="AN209" s="252"/>
      <c r="AO209" s="252"/>
      <c r="AP209" s="252"/>
      <c r="AQ209" s="252"/>
      <c r="AR209" s="252"/>
      <c r="AS209" s="252"/>
      <c r="AT209" s="252"/>
      <c r="AU209" s="252"/>
      <c r="AV209" s="252"/>
      <c r="AW209" s="252"/>
    </row>
    <row r="210" spans="1:49" ht="14" x14ac:dyDescent="0.15">
      <c r="A210" s="252"/>
      <c r="B210" s="252"/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  <c r="Y210" s="252"/>
      <c r="Z210" s="252"/>
      <c r="AA210" s="252"/>
      <c r="AB210" s="252"/>
      <c r="AC210" s="252"/>
      <c r="AD210" s="252"/>
      <c r="AE210" s="252"/>
      <c r="AF210" s="252"/>
      <c r="AG210" s="252"/>
      <c r="AH210" s="252"/>
      <c r="AI210" s="252"/>
      <c r="AJ210" s="252"/>
      <c r="AK210" s="252"/>
      <c r="AL210" s="252"/>
      <c r="AM210" s="252"/>
      <c r="AN210" s="252"/>
      <c r="AO210" s="252"/>
      <c r="AP210" s="252"/>
      <c r="AQ210" s="252"/>
      <c r="AR210" s="252"/>
      <c r="AS210" s="252"/>
      <c r="AT210" s="252"/>
      <c r="AU210" s="252"/>
      <c r="AV210" s="252"/>
      <c r="AW210" s="252"/>
    </row>
    <row r="211" spans="1:49" ht="14" x14ac:dyDescent="0.15">
      <c r="A211" s="252"/>
      <c r="B211" s="252"/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  <c r="Y211" s="252"/>
      <c r="Z211" s="252"/>
      <c r="AA211" s="252"/>
      <c r="AB211" s="252"/>
      <c r="AC211" s="252"/>
      <c r="AD211" s="252"/>
      <c r="AE211" s="252"/>
      <c r="AF211" s="252"/>
      <c r="AG211" s="252"/>
      <c r="AH211" s="252"/>
      <c r="AI211" s="252"/>
      <c r="AJ211" s="252"/>
      <c r="AK211" s="252"/>
      <c r="AL211" s="252"/>
      <c r="AM211" s="252"/>
      <c r="AN211" s="252"/>
      <c r="AO211" s="252"/>
      <c r="AP211" s="252"/>
      <c r="AQ211" s="252"/>
      <c r="AR211" s="252"/>
      <c r="AS211" s="252"/>
      <c r="AT211" s="252"/>
      <c r="AU211" s="252"/>
      <c r="AV211" s="252"/>
      <c r="AW211" s="252"/>
    </row>
    <row r="212" spans="1:49" ht="14" x14ac:dyDescent="0.15">
      <c r="A212" s="252"/>
      <c r="B212" s="252"/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  <c r="AA212" s="252"/>
      <c r="AB212" s="252"/>
      <c r="AC212" s="252"/>
      <c r="AD212" s="252"/>
      <c r="AE212" s="252"/>
      <c r="AF212" s="252"/>
      <c r="AG212" s="252"/>
      <c r="AH212" s="252"/>
      <c r="AI212" s="252"/>
      <c r="AJ212" s="252"/>
      <c r="AK212" s="252"/>
      <c r="AL212" s="252"/>
      <c r="AM212" s="252"/>
      <c r="AN212" s="252"/>
      <c r="AO212" s="252"/>
      <c r="AP212" s="252"/>
      <c r="AQ212" s="252"/>
      <c r="AR212" s="252"/>
      <c r="AS212" s="252"/>
      <c r="AT212" s="252"/>
      <c r="AU212" s="252"/>
      <c r="AV212" s="252"/>
      <c r="AW212" s="252"/>
    </row>
    <row r="213" spans="1:49" ht="14" x14ac:dyDescent="0.15">
      <c r="A213" s="252"/>
      <c r="B213" s="252"/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  <c r="Z213" s="252"/>
      <c r="AA213" s="252"/>
      <c r="AB213" s="252"/>
      <c r="AC213" s="252"/>
      <c r="AD213" s="252"/>
      <c r="AE213" s="252"/>
      <c r="AF213" s="252"/>
      <c r="AG213" s="252"/>
      <c r="AH213" s="252"/>
      <c r="AI213" s="252"/>
      <c r="AJ213" s="252"/>
      <c r="AK213" s="252"/>
      <c r="AL213" s="252"/>
      <c r="AM213" s="252"/>
      <c r="AN213" s="252"/>
      <c r="AO213" s="252"/>
      <c r="AP213" s="252"/>
      <c r="AQ213" s="252"/>
      <c r="AR213" s="252"/>
      <c r="AS213" s="252"/>
      <c r="AT213" s="252"/>
      <c r="AU213" s="252"/>
      <c r="AV213" s="252"/>
      <c r="AW213" s="252"/>
    </row>
    <row r="214" spans="1:49" ht="14" x14ac:dyDescent="0.15">
      <c r="A214" s="252"/>
      <c r="B214" s="252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  <c r="AA214" s="252"/>
      <c r="AB214" s="252"/>
      <c r="AC214" s="252"/>
      <c r="AD214" s="252"/>
      <c r="AE214" s="252"/>
      <c r="AF214" s="252"/>
      <c r="AG214" s="252"/>
      <c r="AH214" s="252"/>
      <c r="AI214" s="252"/>
      <c r="AJ214" s="252"/>
      <c r="AK214" s="252"/>
      <c r="AL214" s="252"/>
      <c r="AM214" s="252"/>
      <c r="AN214" s="252"/>
      <c r="AO214" s="252"/>
      <c r="AP214" s="252"/>
      <c r="AQ214" s="252"/>
      <c r="AR214" s="252"/>
      <c r="AS214" s="252"/>
      <c r="AT214" s="252"/>
      <c r="AU214" s="252"/>
      <c r="AV214" s="252"/>
      <c r="AW214" s="252"/>
    </row>
    <row r="215" spans="1:49" ht="14" x14ac:dyDescent="0.15">
      <c r="A215" s="252"/>
      <c r="B215" s="252"/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Z215" s="252"/>
      <c r="AA215" s="252"/>
      <c r="AB215" s="252"/>
      <c r="AC215" s="252"/>
      <c r="AD215" s="252"/>
      <c r="AE215" s="252"/>
      <c r="AF215" s="252"/>
      <c r="AG215" s="252"/>
      <c r="AH215" s="252"/>
      <c r="AI215" s="252"/>
      <c r="AJ215" s="252"/>
      <c r="AK215" s="252"/>
      <c r="AL215" s="252"/>
      <c r="AM215" s="252"/>
      <c r="AN215" s="252"/>
      <c r="AO215" s="252"/>
      <c r="AP215" s="252"/>
      <c r="AQ215" s="252"/>
      <c r="AR215" s="252"/>
      <c r="AS215" s="252"/>
      <c r="AT215" s="252"/>
      <c r="AU215" s="252"/>
      <c r="AV215" s="252"/>
      <c r="AW215" s="252"/>
    </row>
    <row r="216" spans="1:49" ht="14" x14ac:dyDescent="0.15">
      <c r="A216" s="252"/>
      <c r="B216" s="252"/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Z216" s="252"/>
      <c r="AA216" s="252"/>
      <c r="AB216" s="252"/>
      <c r="AC216" s="252"/>
      <c r="AD216" s="252"/>
      <c r="AE216" s="252"/>
      <c r="AF216" s="252"/>
      <c r="AG216" s="252"/>
      <c r="AH216" s="252"/>
      <c r="AI216" s="252"/>
      <c r="AJ216" s="252"/>
      <c r="AK216" s="252"/>
      <c r="AL216" s="252"/>
      <c r="AM216" s="252"/>
      <c r="AN216" s="252"/>
      <c r="AO216" s="252"/>
      <c r="AP216" s="252"/>
      <c r="AQ216" s="252"/>
      <c r="AR216" s="252"/>
      <c r="AS216" s="252"/>
      <c r="AT216" s="252"/>
      <c r="AU216" s="252"/>
      <c r="AV216" s="252"/>
      <c r="AW216" s="252"/>
    </row>
    <row r="217" spans="1:49" ht="14" x14ac:dyDescent="0.15">
      <c r="A217" s="252"/>
      <c r="B217" s="252"/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  <c r="Y217" s="252"/>
      <c r="Z217" s="252"/>
      <c r="AA217" s="252"/>
      <c r="AB217" s="252"/>
      <c r="AC217" s="252"/>
      <c r="AD217" s="252"/>
      <c r="AE217" s="252"/>
      <c r="AF217" s="252"/>
      <c r="AG217" s="252"/>
      <c r="AH217" s="252"/>
      <c r="AI217" s="252"/>
      <c r="AJ217" s="252"/>
      <c r="AK217" s="252"/>
      <c r="AL217" s="252"/>
      <c r="AM217" s="252"/>
      <c r="AN217" s="252"/>
      <c r="AO217" s="252"/>
      <c r="AP217" s="252"/>
      <c r="AQ217" s="252"/>
      <c r="AR217" s="252"/>
      <c r="AS217" s="252"/>
      <c r="AT217" s="252"/>
      <c r="AU217" s="252"/>
      <c r="AV217" s="252"/>
      <c r="AW217" s="252"/>
    </row>
    <row r="218" spans="1:49" ht="14" x14ac:dyDescent="0.15">
      <c r="A218" s="252"/>
      <c r="B218" s="252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  <c r="AA218" s="252"/>
      <c r="AB218" s="252"/>
      <c r="AC218" s="252"/>
      <c r="AD218" s="252"/>
      <c r="AE218" s="252"/>
      <c r="AF218" s="252"/>
      <c r="AG218" s="252"/>
      <c r="AH218" s="252"/>
      <c r="AI218" s="252"/>
      <c r="AJ218" s="252"/>
      <c r="AK218" s="252"/>
      <c r="AL218" s="252"/>
      <c r="AM218" s="252"/>
      <c r="AN218" s="252"/>
      <c r="AO218" s="252"/>
      <c r="AP218" s="252"/>
      <c r="AQ218" s="252"/>
      <c r="AR218" s="252"/>
      <c r="AS218" s="252"/>
      <c r="AT218" s="252"/>
      <c r="AU218" s="252"/>
      <c r="AV218" s="252"/>
      <c r="AW218" s="252"/>
    </row>
    <row r="219" spans="1:49" ht="14" x14ac:dyDescent="0.15">
      <c r="A219" s="252"/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  <c r="Z219" s="252"/>
      <c r="AA219" s="252"/>
      <c r="AB219" s="252"/>
      <c r="AC219" s="252"/>
      <c r="AD219" s="252"/>
      <c r="AE219" s="252"/>
      <c r="AF219" s="252"/>
      <c r="AG219" s="252"/>
      <c r="AH219" s="252"/>
      <c r="AI219" s="252"/>
      <c r="AJ219" s="252"/>
      <c r="AK219" s="252"/>
      <c r="AL219" s="252"/>
      <c r="AM219" s="252"/>
      <c r="AN219" s="252"/>
      <c r="AO219" s="252"/>
      <c r="AP219" s="252"/>
      <c r="AQ219" s="252"/>
      <c r="AR219" s="252"/>
      <c r="AS219" s="252"/>
      <c r="AT219" s="252"/>
      <c r="AU219" s="252"/>
      <c r="AV219" s="252"/>
      <c r="AW219" s="252"/>
    </row>
    <row r="220" spans="1:49" ht="14" x14ac:dyDescent="0.15">
      <c r="A220" s="252"/>
      <c r="B220" s="252"/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Z220" s="252"/>
      <c r="AA220" s="252"/>
      <c r="AB220" s="252"/>
      <c r="AC220" s="252"/>
      <c r="AD220" s="252"/>
      <c r="AE220" s="252"/>
      <c r="AF220" s="252"/>
      <c r="AG220" s="252"/>
      <c r="AH220" s="252"/>
      <c r="AI220" s="252"/>
      <c r="AJ220" s="252"/>
      <c r="AK220" s="252"/>
      <c r="AL220" s="252"/>
      <c r="AM220" s="252"/>
      <c r="AN220" s="252"/>
      <c r="AO220" s="252"/>
      <c r="AP220" s="252"/>
      <c r="AQ220" s="252"/>
      <c r="AR220" s="252"/>
      <c r="AS220" s="252"/>
      <c r="AT220" s="252"/>
      <c r="AU220" s="252"/>
      <c r="AV220" s="252"/>
      <c r="AW220" s="252"/>
    </row>
    <row r="221" spans="1:49" ht="14" x14ac:dyDescent="0.15">
      <c r="A221" s="252"/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  <c r="Z221" s="252"/>
      <c r="AA221" s="252"/>
      <c r="AB221" s="252"/>
      <c r="AC221" s="252"/>
      <c r="AD221" s="252"/>
      <c r="AE221" s="252"/>
      <c r="AF221" s="252"/>
      <c r="AG221" s="252"/>
      <c r="AH221" s="252"/>
      <c r="AI221" s="252"/>
      <c r="AJ221" s="252"/>
      <c r="AK221" s="252"/>
      <c r="AL221" s="252"/>
      <c r="AM221" s="252"/>
      <c r="AN221" s="252"/>
      <c r="AO221" s="252"/>
      <c r="AP221" s="252"/>
      <c r="AQ221" s="252"/>
      <c r="AR221" s="252"/>
      <c r="AS221" s="252"/>
      <c r="AT221" s="252"/>
      <c r="AU221" s="252"/>
      <c r="AV221" s="252"/>
      <c r="AW221" s="252"/>
    </row>
    <row r="222" spans="1:49" ht="14" x14ac:dyDescent="0.15">
      <c r="A222" s="252"/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  <c r="Z222" s="252"/>
      <c r="AA222" s="252"/>
      <c r="AB222" s="252"/>
      <c r="AC222" s="252"/>
      <c r="AD222" s="252"/>
      <c r="AE222" s="252"/>
      <c r="AF222" s="252"/>
      <c r="AG222" s="252"/>
      <c r="AH222" s="252"/>
      <c r="AI222" s="252"/>
      <c r="AJ222" s="252"/>
      <c r="AK222" s="252"/>
      <c r="AL222" s="252"/>
      <c r="AM222" s="252"/>
      <c r="AN222" s="252"/>
      <c r="AO222" s="252"/>
      <c r="AP222" s="252"/>
      <c r="AQ222" s="252"/>
      <c r="AR222" s="252"/>
      <c r="AS222" s="252"/>
      <c r="AT222" s="252"/>
      <c r="AU222" s="252"/>
      <c r="AV222" s="252"/>
      <c r="AW222" s="252"/>
    </row>
    <row r="223" spans="1:49" ht="14" x14ac:dyDescent="0.15">
      <c r="A223" s="252"/>
      <c r="B223" s="252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  <c r="AA223" s="252"/>
      <c r="AB223" s="252"/>
      <c r="AC223" s="252"/>
      <c r="AD223" s="252"/>
      <c r="AE223" s="252"/>
      <c r="AF223" s="252"/>
      <c r="AG223" s="252"/>
      <c r="AH223" s="252"/>
      <c r="AI223" s="252"/>
      <c r="AJ223" s="252"/>
      <c r="AK223" s="252"/>
      <c r="AL223" s="252"/>
      <c r="AM223" s="252"/>
      <c r="AN223" s="252"/>
      <c r="AO223" s="252"/>
      <c r="AP223" s="252"/>
      <c r="AQ223" s="252"/>
      <c r="AR223" s="252"/>
      <c r="AS223" s="252"/>
      <c r="AT223" s="252"/>
      <c r="AU223" s="252"/>
      <c r="AV223" s="252"/>
      <c r="AW223" s="252"/>
    </row>
    <row r="224" spans="1:49" ht="14" x14ac:dyDescent="0.15">
      <c r="A224" s="252"/>
      <c r="B224" s="252"/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  <c r="Y224" s="252"/>
      <c r="Z224" s="252"/>
      <c r="AA224" s="252"/>
      <c r="AB224" s="252"/>
      <c r="AC224" s="252"/>
      <c r="AD224" s="252"/>
      <c r="AE224" s="252"/>
      <c r="AF224" s="252"/>
      <c r="AG224" s="252"/>
      <c r="AH224" s="252"/>
      <c r="AI224" s="252"/>
      <c r="AJ224" s="252"/>
      <c r="AK224" s="252"/>
      <c r="AL224" s="252"/>
      <c r="AM224" s="252"/>
      <c r="AN224" s="252"/>
      <c r="AO224" s="252"/>
      <c r="AP224" s="252"/>
      <c r="AQ224" s="252"/>
      <c r="AR224" s="252"/>
      <c r="AS224" s="252"/>
      <c r="AT224" s="252"/>
      <c r="AU224" s="252"/>
      <c r="AV224" s="252"/>
      <c r="AW224" s="252"/>
    </row>
    <row r="225" spans="1:49" ht="14" x14ac:dyDescent="0.15">
      <c r="A225" s="252"/>
      <c r="B225" s="252"/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  <c r="Y225" s="252"/>
      <c r="Z225" s="252"/>
      <c r="AA225" s="252"/>
      <c r="AB225" s="252"/>
      <c r="AC225" s="252"/>
      <c r="AD225" s="252"/>
      <c r="AE225" s="252"/>
      <c r="AF225" s="252"/>
      <c r="AG225" s="252"/>
      <c r="AH225" s="252"/>
      <c r="AI225" s="252"/>
      <c r="AJ225" s="252"/>
      <c r="AK225" s="252"/>
      <c r="AL225" s="252"/>
      <c r="AM225" s="252"/>
      <c r="AN225" s="252"/>
      <c r="AO225" s="252"/>
      <c r="AP225" s="252"/>
      <c r="AQ225" s="252"/>
      <c r="AR225" s="252"/>
      <c r="AS225" s="252"/>
      <c r="AT225" s="252"/>
      <c r="AU225" s="252"/>
      <c r="AV225" s="252"/>
      <c r="AW225" s="252"/>
    </row>
    <row r="226" spans="1:49" ht="14" x14ac:dyDescent="0.15">
      <c r="A226" s="252"/>
      <c r="B226" s="252"/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  <c r="Y226" s="252"/>
      <c r="Z226" s="252"/>
      <c r="AA226" s="252"/>
      <c r="AB226" s="252"/>
      <c r="AC226" s="252"/>
      <c r="AD226" s="252"/>
      <c r="AE226" s="252"/>
      <c r="AF226" s="252"/>
      <c r="AG226" s="252"/>
      <c r="AH226" s="252"/>
      <c r="AI226" s="252"/>
      <c r="AJ226" s="252"/>
      <c r="AK226" s="252"/>
      <c r="AL226" s="252"/>
      <c r="AM226" s="252"/>
      <c r="AN226" s="252"/>
      <c r="AO226" s="252"/>
      <c r="AP226" s="252"/>
      <c r="AQ226" s="252"/>
      <c r="AR226" s="252"/>
      <c r="AS226" s="252"/>
      <c r="AT226" s="252"/>
      <c r="AU226" s="252"/>
      <c r="AV226" s="252"/>
      <c r="AW226" s="252"/>
    </row>
    <row r="227" spans="1:49" ht="14" x14ac:dyDescent="0.15">
      <c r="A227" s="252"/>
      <c r="B227" s="252"/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  <c r="Z227" s="252"/>
      <c r="AA227" s="252"/>
      <c r="AB227" s="252"/>
      <c r="AC227" s="252"/>
      <c r="AD227" s="252"/>
      <c r="AE227" s="252"/>
      <c r="AF227" s="252"/>
      <c r="AG227" s="252"/>
      <c r="AH227" s="252"/>
      <c r="AI227" s="252"/>
      <c r="AJ227" s="252"/>
      <c r="AK227" s="252"/>
      <c r="AL227" s="252"/>
      <c r="AM227" s="252"/>
      <c r="AN227" s="252"/>
      <c r="AO227" s="252"/>
      <c r="AP227" s="252"/>
      <c r="AQ227" s="252"/>
      <c r="AR227" s="252"/>
      <c r="AS227" s="252"/>
      <c r="AT227" s="252"/>
      <c r="AU227" s="252"/>
      <c r="AV227" s="252"/>
      <c r="AW227" s="252"/>
    </row>
    <row r="228" spans="1:49" ht="14" x14ac:dyDescent="0.15">
      <c r="A228" s="252"/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  <c r="Z228" s="252"/>
      <c r="AA228" s="252"/>
      <c r="AB228" s="252"/>
      <c r="AC228" s="252"/>
      <c r="AD228" s="252"/>
      <c r="AE228" s="252"/>
      <c r="AF228" s="252"/>
      <c r="AG228" s="252"/>
      <c r="AH228" s="252"/>
      <c r="AI228" s="252"/>
      <c r="AJ228" s="252"/>
      <c r="AK228" s="252"/>
      <c r="AL228" s="252"/>
      <c r="AM228" s="252"/>
      <c r="AN228" s="252"/>
      <c r="AO228" s="252"/>
      <c r="AP228" s="252"/>
      <c r="AQ228" s="252"/>
      <c r="AR228" s="252"/>
      <c r="AS228" s="252"/>
      <c r="AT228" s="252"/>
      <c r="AU228" s="252"/>
      <c r="AV228" s="252"/>
      <c r="AW228" s="252"/>
    </row>
    <row r="229" spans="1:49" ht="14" x14ac:dyDescent="0.15">
      <c r="A229" s="252"/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  <c r="AA229" s="252"/>
      <c r="AB229" s="252"/>
      <c r="AC229" s="252"/>
      <c r="AD229" s="252"/>
      <c r="AE229" s="252"/>
      <c r="AF229" s="252"/>
      <c r="AG229" s="252"/>
      <c r="AH229" s="252"/>
      <c r="AI229" s="252"/>
      <c r="AJ229" s="252"/>
      <c r="AK229" s="252"/>
      <c r="AL229" s="252"/>
      <c r="AM229" s="252"/>
      <c r="AN229" s="252"/>
      <c r="AO229" s="252"/>
      <c r="AP229" s="252"/>
      <c r="AQ229" s="252"/>
      <c r="AR229" s="252"/>
      <c r="AS229" s="252"/>
      <c r="AT229" s="252"/>
      <c r="AU229" s="252"/>
      <c r="AV229" s="252"/>
      <c r="AW229" s="252"/>
    </row>
    <row r="230" spans="1:49" ht="14" x14ac:dyDescent="0.15">
      <c r="A230" s="252"/>
      <c r="B230" s="252"/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  <c r="Y230" s="252"/>
      <c r="Z230" s="252"/>
      <c r="AA230" s="252"/>
      <c r="AB230" s="252"/>
      <c r="AC230" s="252"/>
      <c r="AD230" s="252"/>
      <c r="AE230" s="252"/>
      <c r="AF230" s="252"/>
      <c r="AG230" s="252"/>
      <c r="AH230" s="252"/>
      <c r="AI230" s="252"/>
      <c r="AJ230" s="252"/>
      <c r="AK230" s="252"/>
      <c r="AL230" s="252"/>
      <c r="AM230" s="252"/>
      <c r="AN230" s="252"/>
      <c r="AO230" s="252"/>
      <c r="AP230" s="252"/>
      <c r="AQ230" s="252"/>
      <c r="AR230" s="252"/>
      <c r="AS230" s="252"/>
      <c r="AT230" s="252"/>
      <c r="AU230" s="252"/>
      <c r="AV230" s="252"/>
      <c r="AW230" s="252"/>
    </row>
    <row r="231" spans="1:49" ht="14" x14ac:dyDescent="0.15">
      <c r="A231" s="252"/>
      <c r="B231" s="252"/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  <c r="AD231" s="252"/>
      <c r="AE231" s="252"/>
      <c r="AF231" s="252"/>
      <c r="AG231" s="252"/>
      <c r="AH231" s="252"/>
      <c r="AI231" s="252"/>
      <c r="AJ231" s="252"/>
      <c r="AK231" s="252"/>
      <c r="AL231" s="252"/>
      <c r="AM231" s="252"/>
      <c r="AN231" s="252"/>
      <c r="AO231" s="252"/>
      <c r="AP231" s="252"/>
      <c r="AQ231" s="252"/>
      <c r="AR231" s="252"/>
      <c r="AS231" s="252"/>
      <c r="AT231" s="252"/>
      <c r="AU231" s="252"/>
      <c r="AV231" s="252"/>
      <c r="AW231" s="252"/>
    </row>
    <row r="232" spans="1:49" ht="14" x14ac:dyDescent="0.15">
      <c r="A232" s="252"/>
      <c r="B232" s="252"/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  <c r="AD232" s="252"/>
      <c r="AE232" s="252"/>
      <c r="AF232" s="252"/>
      <c r="AG232" s="252"/>
      <c r="AH232" s="252"/>
      <c r="AI232" s="252"/>
      <c r="AJ232" s="252"/>
      <c r="AK232" s="252"/>
      <c r="AL232" s="252"/>
      <c r="AM232" s="252"/>
      <c r="AN232" s="252"/>
      <c r="AO232" s="252"/>
      <c r="AP232" s="252"/>
      <c r="AQ232" s="252"/>
      <c r="AR232" s="252"/>
      <c r="AS232" s="252"/>
      <c r="AT232" s="252"/>
      <c r="AU232" s="252"/>
      <c r="AV232" s="252"/>
      <c r="AW232" s="252"/>
    </row>
    <row r="233" spans="1:49" ht="14" x14ac:dyDescent="0.15">
      <c r="A233" s="252"/>
      <c r="B233" s="252"/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  <c r="AA233" s="252"/>
      <c r="AB233" s="252"/>
      <c r="AC233" s="252"/>
      <c r="AD233" s="252"/>
      <c r="AE233" s="252"/>
      <c r="AF233" s="252"/>
      <c r="AG233" s="252"/>
      <c r="AH233" s="252"/>
      <c r="AI233" s="252"/>
      <c r="AJ233" s="252"/>
      <c r="AK233" s="252"/>
      <c r="AL233" s="252"/>
      <c r="AM233" s="252"/>
      <c r="AN233" s="252"/>
      <c r="AO233" s="252"/>
      <c r="AP233" s="252"/>
      <c r="AQ233" s="252"/>
      <c r="AR233" s="252"/>
      <c r="AS233" s="252"/>
      <c r="AT233" s="252"/>
      <c r="AU233" s="252"/>
      <c r="AV233" s="252"/>
      <c r="AW233" s="252"/>
    </row>
    <row r="234" spans="1:49" ht="14" x14ac:dyDescent="0.15">
      <c r="A234" s="252"/>
      <c r="B234" s="252"/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  <c r="AA234" s="252"/>
      <c r="AB234" s="252"/>
      <c r="AC234" s="252"/>
      <c r="AD234" s="252"/>
      <c r="AE234" s="252"/>
      <c r="AF234" s="252"/>
      <c r="AG234" s="252"/>
      <c r="AH234" s="252"/>
      <c r="AI234" s="252"/>
      <c r="AJ234" s="252"/>
      <c r="AK234" s="252"/>
      <c r="AL234" s="252"/>
      <c r="AM234" s="252"/>
      <c r="AN234" s="252"/>
      <c r="AO234" s="252"/>
      <c r="AP234" s="252"/>
      <c r="AQ234" s="252"/>
      <c r="AR234" s="252"/>
      <c r="AS234" s="252"/>
      <c r="AT234" s="252"/>
      <c r="AU234" s="252"/>
      <c r="AV234" s="252"/>
      <c r="AW234" s="252"/>
    </row>
    <row r="235" spans="1:49" ht="14" x14ac:dyDescent="0.15">
      <c r="A235" s="252"/>
      <c r="B235" s="252"/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  <c r="AA235" s="252"/>
      <c r="AB235" s="252"/>
      <c r="AC235" s="252"/>
      <c r="AD235" s="252"/>
      <c r="AE235" s="252"/>
      <c r="AF235" s="252"/>
      <c r="AG235" s="252"/>
      <c r="AH235" s="252"/>
      <c r="AI235" s="252"/>
      <c r="AJ235" s="252"/>
      <c r="AK235" s="252"/>
      <c r="AL235" s="252"/>
      <c r="AM235" s="252"/>
      <c r="AN235" s="252"/>
      <c r="AO235" s="252"/>
      <c r="AP235" s="252"/>
      <c r="AQ235" s="252"/>
      <c r="AR235" s="252"/>
      <c r="AS235" s="252"/>
      <c r="AT235" s="252"/>
      <c r="AU235" s="252"/>
      <c r="AV235" s="252"/>
      <c r="AW235" s="252"/>
    </row>
    <row r="236" spans="1:49" ht="14" x14ac:dyDescent="0.15">
      <c r="A236" s="252"/>
      <c r="B236" s="252"/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  <c r="AA236" s="252"/>
      <c r="AB236" s="252"/>
      <c r="AC236" s="252"/>
      <c r="AD236" s="252"/>
      <c r="AE236" s="252"/>
      <c r="AF236" s="252"/>
      <c r="AG236" s="252"/>
      <c r="AH236" s="252"/>
      <c r="AI236" s="252"/>
      <c r="AJ236" s="252"/>
      <c r="AK236" s="252"/>
      <c r="AL236" s="252"/>
      <c r="AM236" s="252"/>
      <c r="AN236" s="252"/>
      <c r="AO236" s="252"/>
      <c r="AP236" s="252"/>
      <c r="AQ236" s="252"/>
      <c r="AR236" s="252"/>
      <c r="AS236" s="252"/>
      <c r="AT236" s="252"/>
      <c r="AU236" s="252"/>
      <c r="AV236" s="252"/>
      <c r="AW236" s="252"/>
    </row>
    <row r="237" spans="1:49" ht="14" x14ac:dyDescent="0.15">
      <c r="A237" s="252"/>
      <c r="B237" s="252"/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  <c r="AA237" s="252"/>
      <c r="AB237" s="252"/>
      <c r="AC237" s="252"/>
      <c r="AD237" s="252"/>
      <c r="AE237" s="252"/>
      <c r="AF237" s="252"/>
      <c r="AG237" s="252"/>
      <c r="AH237" s="252"/>
      <c r="AI237" s="252"/>
      <c r="AJ237" s="252"/>
      <c r="AK237" s="252"/>
      <c r="AL237" s="252"/>
      <c r="AM237" s="252"/>
      <c r="AN237" s="252"/>
      <c r="AO237" s="252"/>
      <c r="AP237" s="252"/>
      <c r="AQ237" s="252"/>
      <c r="AR237" s="252"/>
      <c r="AS237" s="252"/>
      <c r="AT237" s="252"/>
      <c r="AU237" s="252"/>
      <c r="AV237" s="252"/>
      <c r="AW237" s="252"/>
    </row>
    <row r="238" spans="1:49" ht="14" x14ac:dyDescent="0.15">
      <c r="A238" s="252"/>
      <c r="B238" s="252"/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  <c r="AA238" s="252"/>
      <c r="AB238" s="252"/>
      <c r="AC238" s="252"/>
      <c r="AD238" s="252"/>
      <c r="AE238" s="252"/>
      <c r="AF238" s="252"/>
      <c r="AG238" s="252"/>
      <c r="AH238" s="252"/>
      <c r="AI238" s="252"/>
      <c r="AJ238" s="252"/>
      <c r="AK238" s="252"/>
      <c r="AL238" s="252"/>
      <c r="AM238" s="252"/>
      <c r="AN238" s="252"/>
      <c r="AO238" s="252"/>
      <c r="AP238" s="252"/>
      <c r="AQ238" s="252"/>
      <c r="AR238" s="252"/>
      <c r="AS238" s="252"/>
      <c r="AT238" s="252"/>
      <c r="AU238" s="252"/>
      <c r="AV238" s="252"/>
      <c r="AW238" s="252"/>
    </row>
    <row r="239" spans="1:49" ht="14" x14ac:dyDescent="0.15">
      <c r="A239" s="252"/>
      <c r="B239" s="252"/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  <c r="AA239" s="252"/>
      <c r="AB239" s="252"/>
      <c r="AC239" s="252"/>
      <c r="AD239" s="252"/>
      <c r="AE239" s="252"/>
      <c r="AF239" s="252"/>
      <c r="AG239" s="252"/>
      <c r="AH239" s="252"/>
      <c r="AI239" s="252"/>
      <c r="AJ239" s="252"/>
      <c r="AK239" s="252"/>
      <c r="AL239" s="252"/>
      <c r="AM239" s="252"/>
      <c r="AN239" s="252"/>
      <c r="AO239" s="252"/>
      <c r="AP239" s="252"/>
      <c r="AQ239" s="252"/>
      <c r="AR239" s="252"/>
      <c r="AS239" s="252"/>
      <c r="AT239" s="252"/>
      <c r="AU239" s="252"/>
      <c r="AV239" s="252"/>
      <c r="AW239" s="252"/>
    </row>
    <row r="240" spans="1:49" ht="14" x14ac:dyDescent="0.15">
      <c r="A240" s="252"/>
      <c r="B240" s="252"/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  <c r="AA240" s="252"/>
      <c r="AB240" s="252"/>
      <c r="AC240" s="252"/>
      <c r="AD240" s="252"/>
      <c r="AE240" s="252"/>
      <c r="AF240" s="252"/>
      <c r="AG240" s="252"/>
      <c r="AH240" s="252"/>
      <c r="AI240" s="252"/>
      <c r="AJ240" s="252"/>
      <c r="AK240" s="252"/>
      <c r="AL240" s="252"/>
      <c r="AM240" s="252"/>
      <c r="AN240" s="252"/>
      <c r="AO240" s="252"/>
      <c r="AP240" s="252"/>
      <c r="AQ240" s="252"/>
      <c r="AR240" s="252"/>
      <c r="AS240" s="252"/>
      <c r="AT240" s="252"/>
      <c r="AU240" s="252"/>
      <c r="AV240" s="252"/>
      <c r="AW240" s="252"/>
    </row>
    <row r="241" spans="1:49" ht="14" x14ac:dyDescent="0.15">
      <c r="A241" s="252"/>
      <c r="B241" s="252"/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  <c r="AA241" s="252"/>
      <c r="AB241" s="252"/>
      <c r="AC241" s="252"/>
      <c r="AD241" s="252"/>
      <c r="AE241" s="252"/>
      <c r="AF241" s="252"/>
      <c r="AG241" s="252"/>
      <c r="AH241" s="252"/>
      <c r="AI241" s="252"/>
      <c r="AJ241" s="252"/>
      <c r="AK241" s="252"/>
      <c r="AL241" s="252"/>
      <c r="AM241" s="252"/>
      <c r="AN241" s="252"/>
      <c r="AO241" s="252"/>
      <c r="AP241" s="252"/>
      <c r="AQ241" s="252"/>
      <c r="AR241" s="252"/>
      <c r="AS241" s="252"/>
      <c r="AT241" s="252"/>
      <c r="AU241" s="252"/>
      <c r="AV241" s="252"/>
      <c r="AW241" s="252"/>
    </row>
    <row r="242" spans="1:49" ht="14" x14ac:dyDescent="0.15">
      <c r="A242" s="252"/>
      <c r="B242" s="252"/>
      <c r="C242" s="252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  <c r="AA242" s="252"/>
      <c r="AB242" s="252"/>
      <c r="AC242" s="252"/>
      <c r="AD242" s="252"/>
      <c r="AE242" s="252"/>
      <c r="AF242" s="252"/>
      <c r="AG242" s="252"/>
      <c r="AH242" s="252"/>
      <c r="AI242" s="252"/>
      <c r="AJ242" s="252"/>
      <c r="AK242" s="252"/>
      <c r="AL242" s="252"/>
      <c r="AM242" s="252"/>
      <c r="AN242" s="252"/>
      <c r="AO242" s="252"/>
      <c r="AP242" s="252"/>
      <c r="AQ242" s="252"/>
      <c r="AR242" s="252"/>
      <c r="AS242" s="252"/>
      <c r="AT242" s="252"/>
      <c r="AU242" s="252"/>
      <c r="AV242" s="252"/>
      <c r="AW242" s="252"/>
    </row>
    <row r="243" spans="1:49" ht="14" x14ac:dyDescent="0.15">
      <c r="A243" s="252"/>
      <c r="B243" s="252"/>
      <c r="C243" s="252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  <c r="N243" s="252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  <c r="Y243" s="252"/>
      <c r="Z243" s="252"/>
      <c r="AA243" s="252"/>
      <c r="AB243" s="252"/>
      <c r="AC243" s="252"/>
      <c r="AD243" s="252"/>
      <c r="AE243" s="252"/>
      <c r="AF243" s="252"/>
      <c r="AG243" s="252"/>
      <c r="AH243" s="252"/>
      <c r="AI243" s="252"/>
      <c r="AJ243" s="252"/>
      <c r="AK243" s="252"/>
      <c r="AL243" s="252"/>
      <c r="AM243" s="252"/>
      <c r="AN243" s="252"/>
      <c r="AO243" s="252"/>
      <c r="AP243" s="252"/>
      <c r="AQ243" s="252"/>
      <c r="AR243" s="252"/>
      <c r="AS243" s="252"/>
      <c r="AT243" s="252"/>
      <c r="AU243" s="252"/>
      <c r="AV243" s="252"/>
      <c r="AW243" s="252"/>
    </row>
    <row r="244" spans="1:49" ht="14" x14ac:dyDescent="0.15">
      <c r="A244" s="252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  <c r="Y244" s="252"/>
      <c r="Z244" s="252"/>
      <c r="AA244" s="252"/>
      <c r="AB244" s="252"/>
      <c r="AC244" s="252"/>
      <c r="AD244" s="252"/>
      <c r="AE244" s="252"/>
      <c r="AF244" s="252"/>
      <c r="AG244" s="252"/>
      <c r="AH244" s="252"/>
      <c r="AI244" s="252"/>
      <c r="AJ244" s="252"/>
      <c r="AK244" s="252"/>
      <c r="AL244" s="252"/>
      <c r="AM244" s="252"/>
      <c r="AN244" s="252"/>
      <c r="AO244" s="252"/>
      <c r="AP244" s="252"/>
      <c r="AQ244" s="252"/>
      <c r="AR244" s="252"/>
      <c r="AS244" s="252"/>
      <c r="AT244" s="252"/>
      <c r="AU244" s="252"/>
      <c r="AV244" s="252"/>
      <c r="AW244" s="252"/>
    </row>
    <row r="245" spans="1:49" ht="14" x14ac:dyDescent="0.15">
      <c r="A245" s="252"/>
      <c r="B245" s="252"/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  <c r="N245" s="252"/>
      <c r="O245" s="252"/>
      <c r="P245" s="252"/>
      <c r="Q245" s="252"/>
      <c r="R245" s="252"/>
      <c r="S245" s="252"/>
      <c r="T245" s="252"/>
      <c r="U245" s="252"/>
      <c r="V245" s="252"/>
      <c r="W245" s="252"/>
      <c r="X245" s="252"/>
      <c r="Y245" s="252"/>
      <c r="Z245" s="252"/>
      <c r="AA245" s="252"/>
      <c r="AB245" s="252"/>
      <c r="AC245" s="252"/>
      <c r="AD245" s="252"/>
      <c r="AE245" s="252"/>
      <c r="AF245" s="252"/>
      <c r="AG245" s="252"/>
      <c r="AH245" s="252"/>
      <c r="AI245" s="252"/>
      <c r="AJ245" s="252"/>
      <c r="AK245" s="252"/>
      <c r="AL245" s="252"/>
      <c r="AM245" s="252"/>
      <c r="AN245" s="252"/>
      <c r="AO245" s="252"/>
      <c r="AP245" s="252"/>
      <c r="AQ245" s="252"/>
      <c r="AR245" s="252"/>
      <c r="AS245" s="252"/>
      <c r="AT245" s="252"/>
      <c r="AU245" s="252"/>
      <c r="AV245" s="252"/>
      <c r="AW245" s="252"/>
    </row>
    <row r="246" spans="1:49" ht="14" x14ac:dyDescent="0.15">
      <c r="A246" s="252"/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2"/>
      <c r="O246" s="252"/>
      <c r="P246" s="252"/>
      <c r="Q246" s="252"/>
      <c r="R246" s="252"/>
      <c r="S246" s="252"/>
      <c r="T246" s="252"/>
      <c r="U246" s="252"/>
      <c r="V246" s="252"/>
      <c r="W246" s="252"/>
      <c r="X246" s="252"/>
      <c r="Y246" s="252"/>
      <c r="Z246" s="252"/>
      <c r="AA246" s="252"/>
      <c r="AB246" s="252"/>
      <c r="AC246" s="252"/>
      <c r="AD246" s="252"/>
      <c r="AE246" s="252"/>
      <c r="AF246" s="252"/>
      <c r="AG246" s="252"/>
      <c r="AH246" s="252"/>
      <c r="AI246" s="252"/>
      <c r="AJ246" s="252"/>
      <c r="AK246" s="252"/>
      <c r="AL246" s="252"/>
      <c r="AM246" s="252"/>
      <c r="AN246" s="252"/>
      <c r="AO246" s="252"/>
      <c r="AP246" s="252"/>
      <c r="AQ246" s="252"/>
      <c r="AR246" s="252"/>
      <c r="AS246" s="252"/>
      <c r="AT246" s="252"/>
      <c r="AU246" s="252"/>
      <c r="AV246" s="252"/>
      <c r="AW246" s="252"/>
    </row>
    <row r="247" spans="1:49" ht="14" x14ac:dyDescent="0.15">
      <c r="A247" s="252"/>
      <c r="B247" s="252"/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  <c r="X247" s="252"/>
      <c r="Y247" s="252"/>
      <c r="Z247" s="252"/>
      <c r="AA247" s="252"/>
      <c r="AB247" s="252"/>
      <c r="AC247" s="252"/>
      <c r="AD247" s="252"/>
      <c r="AE247" s="252"/>
      <c r="AF247" s="252"/>
      <c r="AG247" s="252"/>
      <c r="AH247" s="252"/>
      <c r="AI247" s="252"/>
      <c r="AJ247" s="252"/>
      <c r="AK247" s="252"/>
      <c r="AL247" s="252"/>
      <c r="AM247" s="252"/>
      <c r="AN247" s="252"/>
      <c r="AO247" s="252"/>
      <c r="AP247" s="252"/>
      <c r="AQ247" s="252"/>
      <c r="AR247" s="252"/>
      <c r="AS247" s="252"/>
      <c r="AT247" s="252"/>
      <c r="AU247" s="252"/>
      <c r="AV247" s="252"/>
      <c r="AW247" s="252"/>
    </row>
    <row r="248" spans="1:49" ht="14" x14ac:dyDescent="0.15">
      <c r="A248" s="252"/>
      <c r="B248" s="252"/>
      <c r="C248" s="252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  <c r="Z248" s="252"/>
      <c r="AA248" s="252"/>
      <c r="AB248" s="252"/>
      <c r="AC248" s="252"/>
      <c r="AD248" s="252"/>
      <c r="AE248" s="252"/>
      <c r="AF248" s="252"/>
      <c r="AG248" s="252"/>
      <c r="AH248" s="252"/>
      <c r="AI248" s="252"/>
      <c r="AJ248" s="252"/>
      <c r="AK248" s="252"/>
      <c r="AL248" s="252"/>
      <c r="AM248" s="252"/>
      <c r="AN248" s="252"/>
      <c r="AO248" s="252"/>
      <c r="AP248" s="252"/>
      <c r="AQ248" s="252"/>
      <c r="AR248" s="252"/>
      <c r="AS248" s="252"/>
      <c r="AT248" s="252"/>
      <c r="AU248" s="252"/>
      <c r="AV248" s="252"/>
      <c r="AW248" s="252"/>
    </row>
    <row r="249" spans="1:49" ht="14" x14ac:dyDescent="0.15">
      <c r="A249" s="252"/>
      <c r="B249" s="252"/>
      <c r="C249" s="252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  <c r="Z249" s="252"/>
      <c r="AA249" s="252"/>
      <c r="AB249" s="252"/>
      <c r="AC249" s="252"/>
      <c r="AD249" s="252"/>
      <c r="AE249" s="252"/>
      <c r="AF249" s="252"/>
      <c r="AG249" s="252"/>
      <c r="AH249" s="252"/>
      <c r="AI249" s="252"/>
      <c r="AJ249" s="252"/>
      <c r="AK249" s="252"/>
      <c r="AL249" s="252"/>
      <c r="AM249" s="252"/>
      <c r="AN249" s="252"/>
      <c r="AO249" s="252"/>
      <c r="AP249" s="252"/>
      <c r="AQ249" s="252"/>
      <c r="AR249" s="252"/>
      <c r="AS249" s="252"/>
      <c r="AT249" s="252"/>
      <c r="AU249" s="252"/>
      <c r="AV249" s="252"/>
      <c r="AW249" s="252"/>
    </row>
    <row r="250" spans="1:49" ht="14" x14ac:dyDescent="0.15">
      <c r="A250" s="252"/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Z250" s="252"/>
      <c r="AA250" s="252"/>
      <c r="AB250" s="252"/>
      <c r="AC250" s="252"/>
      <c r="AD250" s="252"/>
      <c r="AE250" s="252"/>
      <c r="AF250" s="252"/>
      <c r="AG250" s="252"/>
      <c r="AH250" s="252"/>
      <c r="AI250" s="252"/>
      <c r="AJ250" s="252"/>
      <c r="AK250" s="252"/>
      <c r="AL250" s="252"/>
      <c r="AM250" s="252"/>
      <c r="AN250" s="252"/>
      <c r="AO250" s="252"/>
      <c r="AP250" s="252"/>
      <c r="AQ250" s="252"/>
      <c r="AR250" s="252"/>
      <c r="AS250" s="252"/>
      <c r="AT250" s="252"/>
      <c r="AU250" s="252"/>
      <c r="AV250" s="252"/>
      <c r="AW250" s="252"/>
    </row>
    <row r="251" spans="1:49" ht="14" x14ac:dyDescent="0.15">
      <c r="A251" s="252"/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Z251" s="252"/>
      <c r="AA251" s="252"/>
      <c r="AB251" s="252"/>
      <c r="AC251" s="252"/>
      <c r="AD251" s="252"/>
      <c r="AE251" s="252"/>
      <c r="AF251" s="252"/>
      <c r="AG251" s="252"/>
      <c r="AH251" s="252"/>
      <c r="AI251" s="252"/>
      <c r="AJ251" s="252"/>
      <c r="AK251" s="252"/>
      <c r="AL251" s="252"/>
      <c r="AM251" s="252"/>
      <c r="AN251" s="252"/>
      <c r="AO251" s="252"/>
      <c r="AP251" s="252"/>
      <c r="AQ251" s="252"/>
      <c r="AR251" s="252"/>
      <c r="AS251" s="252"/>
      <c r="AT251" s="252"/>
      <c r="AU251" s="252"/>
      <c r="AV251" s="252"/>
      <c r="AW251" s="252"/>
    </row>
    <row r="252" spans="1:49" ht="14" x14ac:dyDescent="0.15">
      <c r="A252" s="252"/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Z252" s="252"/>
      <c r="AA252" s="252"/>
      <c r="AB252" s="252"/>
      <c r="AC252" s="252"/>
      <c r="AD252" s="252"/>
      <c r="AE252" s="252"/>
      <c r="AF252" s="252"/>
      <c r="AG252" s="252"/>
      <c r="AH252" s="252"/>
      <c r="AI252" s="252"/>
      <c r="AJ252" s="252"/>
      <c r="AK252" s="252"/>
      <c r="AL252" s="252"/>
      <c r="AM252" s="252"/>
      <c r="AN252" s="252"/>
      <c r="AO252" s="252"/>
      <c r="AP252" s="252"/>
      <c r="AQ252" s="252"/>
      <c r="AR252" s="252"/>
      <c r="AS252" s="252"/>
      <c r="AT252" s="252"/>
      <c r="AU252" s="252"/>
      <c r="AV252" s="252"/>
      <c r="AW252" s="252"/>
    </row>
    <row r="253" spans="1:49" ht="14" x14ac:dyDescent="0.15">
      <c r="A253" s="252"/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  <c r="Y253" s="252"/>
      <c r="Z253" s="252"/>
      <c r="AA253" s="252"/>
      <c r="AB253" s="252"/>
      <c r="AC253" s="252"/>
      <c r="AD253" s="252"/>
      <c r="AE253" s="252"/>
      <c r="AF253" s="252"/>
      <c r="AG253" s="252"/>
      <c r="AH253" s="252"/>
      <c r="AI253" s="252"/>
      <c r="AJ253" s="252"/>
      <c r="AK253" s="252"/>
      <c r="AL253" s="252"/>
      <c r="AM253" s="252"/>
      <c r="AN253" s="252"/>
      <c r="AO253" s="252"/>
      <c r="AP253" s="252"/>
      <c r="AQ253" s="252"/>
      <c r="AR253" s="252"/>
      <c r="AS253" s="252"/>
      <c r="AT253" s="252"/>
      <c r="AU253" s="252"/>
      <c r="AV253" s="252"/>
      <c r="AW253" s="252"/>
    </row>
    <row r="254" spans="1:49" ht="14" x14ac:dyDescent="0.15">
      <c r="A254" s="252"/>
      <c r="B254" s="252"/>
      <c r="C254" s="252"/>
      <c r="D254" s="252"/>
      <c r="E254" s="252"/>
      <c r="F254" s="252"/>
      <c r="G254" s="252"/>
      <c r="H254" s="252"/>
      <c r="I254" s="252"/>
      <c r="J254" s="252"/>
      <c r="K254" s="252"/>
      <c r="L254" s="252"/>
      <c r="M254" s="252"/>
      <c r="N254" s="252"/>
      <c r="O254" s="252"/>
      <c r="P254" s="252"/>
      <c r="Q254" s="252"/>
      <c r="R254" s="252"/>
      <c r="S254" s="252"/>
      <c r="T254" s="252"/>
      <c r="U254" s="252"/>
      <c r="V254" s="252"/>
      <c r="W254" s="252"/>
      <c r="X254" s="252"/>
      <c r="Y254" s="252"/>
      <c r="Z254" s="252"/>
      <c r="AA254" s="252"/>
      <c r="AB254" s="252"/>
      <c r="AC254" s="252"/>
      <c r="AD254" s="252"/>
      <c r="AE254" s="252"/>
      <c r="AF254" s="252"/>
      <c r="AG254" s="252"/>
      <c r="AH254" s="252"/>
      <c r="AI254" s="252"/>
      <c r="AJ254" s="252"/>
      <c r="AK254" s="252"/>
      <c r="AL254" s="252"/>
      <c r="AM254" s="252"/>
      <c r="AN254" s="252"/>
      <c r="AO254" s="252"/>
      <c r="AP254" s="252"/>
      <c r="AQ254" s="252"/>
      <c r="AR254" s="252"/>
      <c r="AS254" s="252"/>
      <c r="AT254" s="252"/>
      <c r="AU254" s="252"/>
      <c r="AV254" s="252"/>
      <c r="AW254" s="252"/>
    </row>
  </sheetData>
  <sheetProtection algorithmName="SHA-512" hashValue="GDvd6+d4B3TMkIO4AdUT5pJCBCzHgZjSOWgonTFdFUEQkEkTuHXvxMKBRFIIpz4P7xbRyY+mtNH+vYxETU6cwA==" saltValue="hDzwYU9q/KOSforaIvjyTQ==" spinCount="100000" sheet="1" objects="1" scenarios="1"/>
  <conditionalFormatting sqref="A8:T22 A31:T44 A53:T67">
    <cfRule type="expression" dxfId="0" priority="1">
      <formula>MOD(ROW(),2)=0</formula>
    </cfRule>
  </conditionalFormatting>
  <pageMargins left="0.75" right="0.75" top="1" bottom="1" header="0.5" footer="0.5"/>
  <rowBreaks count="1" manualBreakCount="1">
    <brk id="46" max="16383" man="1" pt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7D7E1-D2F8-8B48-A983-76CD8EF3144C}">
  <sheetPr codeName="Sheet31"/>
  <dimension ref="A1:BY52"/>
  <sheetViews>
    <sheetView zoomScale="140" zoomScaleNormal="140" zoomScalePageLayoutView="125" workbookViewId="0">
      <pane xSplit="12" ySplit="1" topLeftCell="M2" activePane="bottomRight" state="frozen"/>
      <selection activeCell="A53" sqref="A53:XFD104"/>
      <selection pane="topRight" activeCell="A53" sqref="A53:XFD104"/>
      <selection pane="bottomLeft" activeCell="A53" sqref="A53:XFD104"/>
      <selection pane="bottomRight" activeCell="A53" sqref="A53:XFD104"/>
    </sheetView>
  </sheetViews>
  <sheetFormatPr baseColWidth="10" defaultRowHeight="13" x14ac:dyDescent="0.15"/>
  <cols>
    <col min="5" max="5" width="4.33203125" customWidth="1"/>
    <col min="8" max="10" width="8.1640625" customWidth="1"/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260">
        <v>1915</v>
      </c>
      <c r="B2" s="390">
        <v>43750</v>
      </c>
      <c r="C2" s="261" t="s">
        <v>755</v>
      </c>
      <c r="D2" s="260" t="s">
        <v>454</v>
      </c>
      <c r="E2" s="260">
        <v>1</v>
      </c>
      <c r="F2" s="260" t="s">
        <v>756</v>
      </c>
      <c r="G2" s="270">
        <v>43742</v>
      </c>
      <c r="H2" s="262" t="s">
        <v>757</v>
      </c>
      <c r="I2" s="262" t="s">
        <v>758</v>
      </c>
      <c r="J2" s="262">
        <v>1</v>
      </c>
      <c r="K2" s="260" t="s">
        <v>759</v>
      </c>
      <c r="L2" s="260" t="s">
        <v>760</v>
      </c>
      <c r="M2" s="369">
        <v>111.70909090909089</v>
      </c>
      <c r="N2" s="369">
        <v>45.763636363636365</v>
      </c>
      <c r="O2" s="260"/>
      <c r="P2" s="263"/>
      <c r="Q2" s="264"/>
      <c r="R2" s="263"/>
      <c r="S2" s="264"/>
      <c r="T2" s="263"/>
      <c r="U2" s="260"/>
      <c r="V2" s="264"/>
      <c r="W2" s="264"/>
      <c r="X2" s="260"/>
      <c r="Y2" s="260"/>
      <c r="Z2" s="260"/>
      <c r="AA2" s="260"/>
      <c r="AB2" s="263"/>
      <c r="AC2" s="260"/>
      <c r="AD2" s="260"/>
      <c r="AE2" s="264"/>
      <c r="AF2" s="264"/>
      <c r="AG2" s="263"/>
      <c r="AH2" s="260"/>
      <c r="AI2" s="264"/>
      <c r="AJ2" s="260"/>
      <c r="AK2" s="260"/>
      <c r="AL2" s="260"/>
      <c r="AM2" s="260"/>
      <c r="AN2" s="264"/>
      <c r="AO2" s="265"/>
      <c r="AP2" s="264"/>
      <c r="AQ2" s="260" t="s">
        <v>761</v>
      </c>
      <c r="AR2" s="262" t="s">
        <v>174</v>
      </c>
      <c r="AS2" s="262"/>
      <c r="AT2" s="262"/>
      <c r="AU2" s="262">
        <v>6</v>
      </c>
      <c r="AV2" s="262"/>
      <c r="AW2" s="262"/>
      <c r="AX2" s="262"/>
      <c r="AY2" s="262"/>
      <c r="AZ2" s="262" t="s">
        <v>762</v>
      </c>
      <c r="BA2" s="260"/>
      <c r="BB2" s="262">
        <v>0</v>
      </c>
      <c r="BC2" s="262">
        <v>0</v>
      </c>
      <c r="BD2" s="262">
        <v>0</v>
      </c>
      <c r="BE2" s="262">
        <v>0</v>
      </c>
      <c r="BF2" s="262">
        <v>0</v>
      </c>
      <c r="BG2" s="262">
        <v>0</v>
      </c>
      <c r="BH2" s="262">
        <v>0</v>
      </c>
      <c r="BI2" s="262">
        <v>0</v>
      </c>
      <c r="BJ2" s="262">
        <v>0</v>
      </c>
      <c r="BK2" s="262">
        <v>0</v>
      </c>
      <c r="BL2" s="262"/>
      <c r="BM2" s="262"/>
      <c r="BN2" s="262">
        <v>12</v>
      </c>
      <c r="BO2" s="262" t="s">
        <v>758</v>
      </c>
      <c r="BP2" s="371"/>
      <c r="BQ2" s="262"/>
      <c r="BR2" s="262"/>
      <c r="BS2" s="260"/>
      <c r="BT2" s="260"/>
      <c r="BU2" s="262"/>
      <c r="BV2" s="262" t="s">
        <v>758</v>
      </c>
      <c r="BW2" s="262"/>
      <c r="BX2" s="260" t="s">
        <v>763</v>
      </c>
      <c r="BY2" s="266" t="s">
        <v>982</v>
      </c>
    </row>
    <row r="3" spans="1:77" x14ac:dyDescent="0.15">
      <c r="A3" s="260">
        <v>168</v>
      </c>
      <c r="B3" s="390">
        <v>43750</v>
      </c>
      <c r="C3" s="261" t="s">
        <v>755</v>
      </c>
      <c r="D3" s="260" t="s">
        <v>454</v>
      </c>
      <c r="E3" s="260">
        <v>1</v>
      </c>
      <c r="F3" s="260" t="s">
        <v>756</v>
      </c>
      <c r="G3" s="267">
        <v>43646</v>
      </c>
      <c r="H3" s="262" t="s">
        <v>175</v>
      </c>
      <c r="I3" s="262" t="s">
        <v>174</v>
      </c>
      <c r="J3" s="262">
        <v>2</v>
      </c>
      <c r="K3" s="260" t="s">
        <v>765</v>
      </c>
      <c r="L3" s="260" t="s">
        <v>766</v>
      </c>
      <c r="M3" s="369">
        <v>113.77272727272727</v>
      </c>
      <c r="N3" s="369">
        <v>48.872727272727268</v>
      </c>
      <c r="O3" s="260"/>
      <c r="P3" s="263"/>
      <c r="Q3" s="264"/>
      <c r="R3" s="263"/>
      <c r="S3" s="264"/>
      <c r="T3" s="263"/>
      <c r="U3" s="260"/>
      <c r="V3" s="264"/>
      <c r="W3" s="264"/>
      <c r="X3" s="260"/>
      <c r="Y3" s="260"/>
      <c r="Z3" s="260"/>
      <c r="AA3" s="260"/>
      <c r="AB3" s="260"/>
      <c r="AC3" s="260"/>
      <c r="AD3" s="260"/>
      <c r="AE3" s="264"/>
      <c r="AF3" s="264"/>
      <c r="AG3" s="263"/>
      <c r="AH3" s="260"/>
      <c r="AI3" s="264"/>
      <c r="AJ3" s="260"/>
      <c r="AK3" s="260"/>
      <c r="AL3" s="260"/>
      <c r="AM3" s="260"/>
      <c r="AN3" s="264"/>
      <c r="AO3" s="265"/>
      <c r="AP3" s="264"/>
      <c r="AQ3" s="370" t="s">
        <v>761</v>
      </c>
      <c r="AR3" s="262" t="s">
        <v>758</v>
      </c>
      <c r="AS3" s="262"/>
      <c r="AT3" s="262"/>
      <c r="AU3" s="262">
        <v>8</v>
      </c>
      <c r="AV3" s="262"/>
      <c r="AW3" s="262"/>
      <c r="AX3" s="262"/>
      <c r="AY3" s="262"/>
      <c r="AZ3" s="262" t="s">
        <v>758</v>
      </c>
      <c r="BA3" s="260"/>
      <c r="BB3" s="262">
        <v>0</v>
      </c>
      <c r="BC3" s="262">
        <v>0</v>
      </c>
      <c r="BD3" s="262">
        <v>0</v>
      </c>
      <c r="BE3" s="262">
        <v>0</v>
      </c>
      <c r="BF3" s="262">
        <v>0</v>
      </c>
      <c r="BG3" s="262">
        <v>0</v>
      </c>
      <c r="BH3" s="262">
        <v>0</v>
      </c>
      <c r="BI3" s="262">
        <v>0</v>
      </c>
      <c r="BJ3" s="262">
        <v>0</v>
      </c>
      <c r="BK3" s="262">
        <v>0</v>
      </c>
      <c r="BL3" s="262"/>
      <c r="BM3" s="262"/>
      <c r="BN3" s="262"/>
      <c r="BO3" s="262" t="s">
        <v>758</v>
      </c>
      <c r="BP3" s="371"/>
      <c r="BQ3" s="262"/>
      <c r="BR3" s="262"/>
      <c r="BS3" s="260"/>
      <c r="BT3" s="260"/>
      <c r="BU3" s="262"/>
      <c r="BV3" s="262" t="s">
        <v>758</v>
      </c>
      <c r="BW3" s="262">
        <v>1</v>
      </c>
      <c r="BX3" s="260"/>
      <c r="BY3" s="260" t="s">
        <v>933</v>
      </c>
    </row>
    <row r="4" spans="1:77" x14ac:dyDescent="0.15">
      <c r="A4" s="260">
        <v>432</v>
      </c>
      <c r="B4" s="390">
        <v>43750</v>
      </c>
      <c r="C4" s="261" t="s">
        <v>315</v>
      </c>
      <c r="D4" s="260" t="s">
        <v>454</v>
      </c>
      <c r="E4" s="260">
        <v>1</v>
      </c>
      <c r="F4" s="260" t="s">
        <v>317</v>
      </c>
      <c r="G4" s="267">
        <v>43646</v>
      </c>
      <c r="H4" s="262" t="s">
        <v>334</v>
      </c>
      <c r="I4" s="262" t="s">
        <v>318</v>
      </c>
      <c r="J4" s="262">
        <v>3</v>
      </c>
      <c r="K4" s="260" t="s">
        <v>341</v>
      </c>
      <c r="L4" s="260" t="s">
        <v>858</v>
      </c>
      <c r="M4" s="369">
        <v>94.5</v>
      </c>
      <c r="N4" s="369">
        <v>48.5</v>
      </c>
      <c r="O4" s="260" t="s">
        <v>518</v>
      </c>
      <c r="P4" s="260">
        <v>1000</v>
      </c>
      <c r="Q4" s="369">
        <v>50.454545454545453</v>
      </c>
      <c r="R4" s="263"/>
      <c r="S4" s="264"/>
      <c r="T4" s="260"/>
      <c r="U4" s="260"/>
      <c r="V4" s="264"/>
      <c r="W4" s="264"/>
      <c r="X4" s="260"/>
      <c r="Y4" s="260"/>
      <c r="Z4" s="260"/>
      <c r="AA4" s="260"/>
      <c r="AB4" s="260"/>
      <c r="AC4" s="260"/>
      <c r="AD4" s="260"/>
      <c r="AE4" s="264"/>
      <c r="AF4" s="264"/>
      <c r="AG4" s="263"/>
      <c r="AH4" s="260"/>
      <c r="AI4" s="264"/>
      <c r="AJ4" s="260"/>
      <c r="AK4" s="260"/>
      <c r="AL4" s="260"/>
      <c r="AM4" s="260"/>
      <c r="AN4" s="264"/>
      <c r="AO4" s="265"/>
      <c r="AP4" s="264"/>
      <c r="AQ4" s="260" t="s">
        <v>322</v>
      </c>
      <c r="AR4" s="262" t="s">
        <v>318</v>
      </c>
      <c r="AS4" s="262"/>
      <c r="AT4" s="262"/>
      <c r="AU4" s="262">
        <v>5.2</v>
      </c>
      <c r="AV4" s="262"/>
      <c r="AW4" s="262"/>
      <c r="AX4" s="262"/>
      <c r="AY4" s="262"/>
      <c r="AZ4" s="262" t="s">
        <v>323</v>
      </c>
      <c r="BA4" s="260"/>
      <c r="BB4" s="262">
        <v>0</v>
      </c>
      <c r="BC4" s="262">
        <v>0</v>
      </c>
      <c r="BD4" s="262">
        <v>2</v>
      </c>
      <c r="BE4" s="262">
        <v>0</v>
      </c>
      <c r="BF4" s="262">
        <v>0</v>
      </c>
      <c r="BG4" s="262">
        <v>0</v>
      </c>
      <c r="BH4" s="262">
        <v>0</v>
      </c>
      <c r="BI4" s="262">
        <v>0</v>
      </c>
      <c r="BJ4" s="262">
        <v>0</v>
      </c>
      <c r="BK4" s="262">
        <v>0</v>
      </c>
      <c r="BL4" s="262"/>
      <c r="BM4" s="262"/>
      <c r="BN4" s="262"/>
      <c r="BO4" s="262" t="s">
        <v>318</v>
      </c>
      <c r="BP4" s="371"/>
      <c r="BQ4" s="262"/>
      <c r="BR4" s="262"/>
      <c r="BS4" s="260"/>
      <c r="BT4" s="260"/>
      <c r="BU4" s="262"/>
      <c r="BV4" s="262" t="s">
        <v>318</v>
      </c>
      <c r="BW4" s="262"/>
      <c r="BX4" s="260"/>
      <c r="BY4" s="260" t="s">
        <v>936</v>
      </c>
    </row>
    <row r="5" spans="1:77" x14ac:dyDescent="0.15">
      <c r="A5" s="260">
        <v>753</v>
      </c>
      <c r="B5" s="390">
        <v>43750</v>
      </c>
      <c r="C5" s="261" t="s">
        <v>453</v>
      </c>
      <c r="D5" s="260" t="s">
        <v>454</v>
      </c>
      <c r="E5" s="260">
        <v>1</v>
      </c>
      <c r="F5" s="260" t="s">
        <v>455</v>
      </c>
      <c r="G5" s="270">
        <v>43692</v>
      </c>
      <c r="H5" s="262" t="s">
        <v>456</v>
      </c>
      <c r="I5" s="262" t="s">
        <v>457</v>
      </c>
      <c r="J5" s="262">
        <v>4</v>
      </c>
      <c r="K5" s="260" t="s">
        <v>476</v>
      </c>
      <c r="L5" s="260" t="s">
        <v>859</v>
      </c>
      <c r="M5" s="369">
        <v>116.09999999999998</v>
      </c>
      <c r="N5" s="369">
        <v>48.790909090909089</v>
      </c>
      <c r="O5" s="260"/>
      <c r="P5" s="263"/>
      <c r="Q5" s="264"/>
      <c r="R5" s="263"/>
      <c r="S5" s="264"/>
      <c r="T5" s="263"/>
      <c r="U5" s="260"/>
      <c r="V5" s="264"/>
      <c r="W5" s="264"/>
      <c r="X5" s="263"/>
      <c r="Y5" s="260"/>
      <c r="Z5" s="263"/>
      <c r="AA5" s="260"/>
      <c r="AB5" s="263"/>
      <c r="AC5" s="260"/>
      <c r="AD5" s="260"/>
      <c r="AE5" s="264"/>
      <c r="AF5" s="264"/>
      <c r="AG5" s="263"/>
      <c r="AH5" s="260"/>
      <c r="AI5" s="264"/>
      <c r="AJ5" s="260"/>
      <c r="AK5" s="260"/>
      <c r="AL5" s="260"/>
      <c r="AM5" s="260"/>
      <c r="AN5" s="264"/>
      <c r="AO5" s="265"/>
      <c r="AP5" s="264"/>
      <c r="AQ5" s="260" t="s">
        <v>460</v>
      </c>
      <c r="AR5" s="262" t="s">
        <v>457</v>
      </c>
      <c r="AS5" s="262"/>
      <c r="AT5" s="262"/>
      <c r="AU5" s="262">
        <v>9.35</v>
      </c>
      <c r="AV5" s="262"/>
      <c r="AW5" s="262"/>
      <c r="AX5" s="262"/>
      <c r="AY5" s="262"/>
      <c r="AZ5" s="262" t="s">
        <v>462</v>
      </c>
      <c r="BA5" s="260"/>
      <c r="BB5" s="262">
        <v>7</v>
      </c>
      <c r="BC5" s="262">
        <v>0</v>
      </c>
      <c r="BD5" s="262">
        <v>0</v>
      </c>
      <c r="BE5" s="262">
        <v>0</v>
      </c>
      <c r="BF5" s="262">
        <v>0</v>
      </c>
      <c r="BG5" s="262">
        <v>0</v>
      </c>
      <c r="BH5" s="262">
        <v>0</v>
      </c>
      <c r="BI5" s="262">
        <v>0</v>
      </c>
      <c r="BJ5" s="262">
        <v>0</v>
      </c>
      <c r="BK5" s="262">
        <v>0</v>
      </c>
      <c r="BL5" s="262"/>
      <c r="BM5" s="262"/>
      <c r="BN5" s="262">
        <v>24</v>
      </c>
      <c r="BO5" s="262" t="s">
        <v>457</v>
      </c>
      <c r="BP5" s="371"/>
      <c r="BQ5" s="262"/>
      <c r="BR5" s="262"/>
      <c r="BS5" s="260"/>
      <c r="BT5" s="260"/>
      <c r="BU5" s="262"/>
      <c r="BV5" s="262" t="s">
        <v>457</v>
      </c>
      <c r="BW5" s="262">
        <v>1</v>
      </c>
      <c r="BX5" s="260"/>
      <c r="BY5" s="260" t="s">
        <v>939</v>
      </c>
    </row>
    <row r="6" spans="1:77" x14ac:dyDescent="0.15">
      <c r="A6" s="260">
        <v>977</v>
      </c>
      <c r="B6" s="390">
        <v>43750</v>
      </c>
      <c r="C6" s="261" t="s">
        <v>861</v>
      </c>
      <c r="D6" s="260" t="s">
        <v>454</v>
      </c>
      <c r="E6" s="260">
        <v>1</v>
      </c>
      <c r="F6" s="260" t="s">
        <v>862</v>
      </c>
      <c r="G6" s="270">
        <v>43670</v>
      </c>
      <c r="H6" s="262" t="s">
        <v>863</v>
      </c>
      <c r="I6" s="262" t="s">
        <v>864</v>
      </c>
      <c r="J6" s="262">
        <v>5</v>
      </c>
      <c r="K6" s="260" t="s">
        <v>302</v>
      </c>
      <c r="L6" s="260" t="s">
        <v>521</v>
      </c>
      <c r="M6" s="369">
        <v>130</v>
      </c>
      <c r="N6" s="369">
        <v>43.999999999999993</v>
      </c>
      <c r="O6" s="260"/>
      <c r="P6" s="263"/>
      <c r="Q6" s="264"/>
      <c r="R6" s="263"/>
      <c r="S6" s="264"/>
      <c r="T6" s="263"/>
      <c r="U6" s="260"/>
      <c r="V6" s="264"/>
      <c r="W6" s="264"/>
      <c r="X6" s="260"/>
      <c r="Y6" s="260"/>
      <c r="Z6" s="260"/>
      <c r="AA6" s="260"/>
      <c r="AB6" s="260"/>
      <c r="AC6" s="260"/>
      <c r="AD6" s="260"/>
      <c r="AE6" s="264"/>
      <c r="AF6" s="264"/>
      <c r="AG6" s="263"/>
      <c r="AH6" s="260"/>
      <c r="AI6" s="264"/>
      <c r="AJ6" s="260"/>
      <c r="AK6" s="260"/>
      <c r="AL6" s="260"/>
      <c r="AM6" s="260"/>
      <c r="AN6" s="264"/>
      <c r="AO6" s="265"/>
      <c r="AP6" s="264"/>
      <c r="AQ6" s="260" t="s">
        <v>865</v>
      </c>
      <c r="AR6" s="262" t="s">
        <v>864</v>
      </c>
      <c r="AS6" s="262"/>
      <c r="AT6" s="262"/>
      <c r="AU6" s="262">
        <v>5.5</v>
      </c>
      <c r="AV6" s="262"/>
      <c r="AW6" s="262"/>
      <c r="AX6" s="262"/>
      <c r="AY6" s="262"/>
      <c r="AZ6" s="262" t="s">
        <v>361</v>
      </c>
      <c r="BA6" s="260"/>
      <c r="BB6" s="262">
        <v>0</v>
      </c>
      <c r="BC6" s="262">
        <v>0</v>
      </c>
      <c r="BD6" s="262">
        <v>0</v>
      </c>
      <c r="BE6" s="262">
        <v>0</v>
      </c>
      <c r="BF6" s="262">
        <v>0</v>
      </c>
      <c r="BG6" s="262">
        <v>0</v>
      </c>
      <c r="BH6" s="262">
        <v>0</v>
      </c>
      <c r="BI6" s="262">
        <v>0</v>
      </c>
      <c r="BJ6" s="262">
        <v>0</v>
      </c>
      <c r="BK6" s="262">
        <v>0</v>
      </c>
      <c r="BL6" s="262"/>
      <c r="BM6" s="262"/>
      <c r="BN6" s="262"/>
      <c r="BO6" s="262" t="s">
        <v>864</v>
      </c>
      <c r="BP6" s="371"/>
      <c r="BQ6" s="262"/>
      <c r="BR6" s="262"/>
      <c r="BS6" s="260"/>
      <c r="BT6" s="260"/>
      <c r="BU6" s="262"/>
      <c r="BV6" s="262" t="s">
        <v>864</v>
      </c>
      <c r="BW6" s="262"/>
      <c r="BX6" s="260"/>
      <c r="BY6" s="370" t="s">
        <v>942</v>
      </c>
    </row>
    <row r="7" spans="1:77" x14ac:dyDescent="0.15">
      <c r="A7" s="260">
        <v>1380</v>
      </c>
      <c r="B7" s="390">
        <v>43750</v>
      </c>
      <c r="C7" s="261" t="s">
        <v>755</v>
      </c>
      <c r="D7" s="260" t="s">
        <v>454</v>
      </c>
      <c r="E7" s="260">
        <v>1</v>
      </c>
      <c r="F7" s="260" t="s">
        <v>756</v>
      </c>
      <c r="G7" s="270">
        <v>43652</v>
      </c>
      <c r="H7" s="262" t="s">
        <v>757</v>
      </c>
      <c r="I7" s="262" t="s">
        <v>758</v>
      </c>
      <c r="J7" s="262">
        <v>6</v>
      </c>
      <c r="K7" s="260" t="s">
        <v>773</v>
      </c>
      <c r="L7" s="260" t="s">
        <v>774</v>
      </c>
      <c r="M7" s="369">
        <v>98.381818181818176</v>
      </c>
      <c r="N7" s="369">
        <v>44.663636363636364</v>
      </c>
      <c r="O7" s="260"/>
      <c r="P7" s="263"/>
      <c r="Q7" s="264"/>
      <c r="R7" s="263"/>
      <c r="S7" s="264"/>
      <c r="T7" s="263"/>
      <c r="U7" s="260"/>
      <c r="V7" s="264"/>
      <c r="W7" s="264"/>
      <c r="X7" s="260"/>
      <c r="Y7" s="260"/>
      <c r="Z7" s="263"/>
      <c r="AA7" s="260"/>
      <c r="AB7" s="263"/>
      <c r="AC7" s="260"/>
      <c r="AD7" s="260"/>
      <c r="AE7" s="264"/>
      <c r="AF7" s="264"/>
      <c r="AG7" s="263"/>
      <c r="AH7" s="260"/>
      <c r="AI7" s="264"/>
      <c r="AJ7" s="260"/>
      <c r="AK7" s="260"/>
      <c r="AL7" s="260"/>
      <c r="AM7" s="260"/>
      <c r="AN7" s="264"/>
      <c r="AO7" s="265"/>
      <c r="AP7" s="264"/>
      <c r="AQ7" s="260" t="s">
        <v>761</v>
      </c>
      <c r="AR7" s="262" t="s">
        <v>758</v>
      </c>
      <c r="AS7" s="262"/>
      <c r="AT7" s="262"/>
      <c r="AU7" s="262">
        <v>6</v>
      </c>
      <c r="AV7" s="262"/>
      <c r="AW7" s="262"/>
      <c r="AX7" s="262"/>
      <c r="AY7" s="262"/>
      <c r="AZ7" s="262" t="s">
        <v>762</v>
      </c>
      <c r="BA7" s="260"/>
      <c r="BB7" s="262">
        <v>0</v>
      </c>
      <c r="BC7" s="262">
        <v>0</v>
      </c>
      <c r="BD7" s="262">
        <v>0</v>
      </c>
      <c r="BE7" s="262">
        <v>0</v>
      </c>
      <c r="BF7" s="262">
        <v>0</v>
      </c>
      <c r="BG7" s="262">
        <v>0</v>
      </c>
      <c r="BH7" s="262">
        <v>0</v>
      </c>
      <c r="BI7" s="262">
        <v>0</v>
      </c>
      <c r="BJ7" s="262">
        <v>0</v>
      </c>
      <c r="BK7" s="262">
        <v>0</v>
      </c>
      <c r="BL7" s="262"/>
      <c r="BM7" s="262"/>
      <c r="BN7" s="262">
        <v>12</v>
      </c>
      <c r="BO7" s="262" t="s">
        <v>758</v>
      </c>
      <c r="BP7" s="371"/>
      <c r="BQ7" s="262"/>
      <c r="BR7" s="262"/>
      <c r="BS7" s="260"/>
      <c r="BT7" s="260"/>
      <c r="BU7" s="262"/>
      <c r="BV7" s="262" t="s">
        <v>758</v>
      </c>
      <c r="BW7" s="262"/>
      <c r="BX7" s="260"/>
      <c r="BY7" s="378" t="s">
        <v>945</v>
      </c>
    </row>
    <row r="8" spans="1:77" x14ac:dyDescent="0.15">
      <c r="A8" s="260">
        <v>1714</v>
      </c>
      <c r="B8" s="390">
        <v>43750</v>
      </c>
      <c r="C8" s="261" t="s">
        <v>861</v>
      </c>
      <c r="D8" s="260" t="s">
        <v>454</v>
      </c>
      <c r="E8" s="260">
        <v>1</v>
      </c>
      <c r="F8" s="260" t="s">
        <v>862</v>
      </c>
      <c r="G8" s="270">
        <v>43670</v>
      </c>
      <c r="H8" s="262" t="s">
        <v>863</v>
      </c>
      <c r="I8" s="262" t="s">
        <v>864</v>
      </c>
      <c r="J8" s="262">
        <v>7</v>
      </c>
      <c r="K8" s="260" t="s">
        <v>868</v>
      </c>
      <c r="L8" s="260" t="s">
        <v>525</v>
      </c>
      <c r="M8" s="369">
        <v>130</v>
      </c>
      <c r="N8" s="369">
        <v>43.999999999999993</v>
      </c>
      <c r="O8" s="260"/>
      <c r="P8" s="263"/>
      <c r="Q8" s="264"/>
      <c r="R8" s="263"/>
      <c r="S8" s="264"/>
      <c r="T8" s="260"/>
      <c r="U8" s="260"/>
      <c r="V8" s="264"/>
      <c r="W8" s="264"/>
      <c r="X8" s="260"/>
      <c r="Y8" s="260"/>
      <c r="Z8" s="260"/>
      <c r="AA8" s="260"/>
      <c r="AB8" s="260"/>
      <c r="AC8" s="260"/>
      <c r="AD8" s="260"/>
      <c r="AE8" s="264"/>
      <c r="AF8" s="264"/>
      <c r="AG8" s="263"/>
      <c r="AH8" s="260"/>
      <c r="AI8" s="264"/>
      <c r="AJ8" s="260"/>
      <c r="AK8" s="260"/>
      <c r="AL8" s="260"/>
      <c r="AM8" s="260"/>
      <c r="AN8" s="264"/>
      <c r="AO8" s="265"/>
      <c r="AP8" s="264"/>
      <c r="AQ8" s="260" t="s">
        <v>865</v>
      </c>
      <c r="AR8" s="262" t="s">
        <v>864</v>
      </c>
      <c r="AS8" s="262"/>
      <c r="AT8" s="262"/>
      <c r="AU8" s="262">
        <v>5.5</v>
      </c>
      <c r="AV8" s="262"/>
      <c r="AW8" s="262"/>
      <c r="AX8" s="262"/>
      <c r="AY8" s="262"/>
      <c r="AZ8" s="262" t="s">
        <v>869</v>
      </c>
      <c r="BA8" s="260"/>
      <c r="BB8" s="262">
        <v>0</v>
      </c>
      <c r="BC8" s="262">
        <v>0</v>
      </c>
      <c r="BD8" s="262">
        <v>0</v>
      </c>
      <c r="BE8" s="262">
        <v>0</v>
      </c>
      <c r="BF8" s="262">
        <v>0</v>
      </c>
      <c r="BG8" s="262">
        <v>0</v>
      </c>
      <c r="BH8" s="262">
        <v>0</v>
      </c>
      <c r="BI8" s="262">
        <v>0</v>
      </c>
      <c r="BJ8" s="262">
        <v>0</v>
      </c>
      <c r="BK8" s="262">
        <v>0</v>
      </c>
      <c r="BL8" s="262"/>
      <c r="BM8" s="262"/>
      <c r="BN8" s="262"/>
      <c r="BO8" s="262" t="s">
        <v>864</v>
      </c>
      <c r="BP8" s="371"/>
      <c r="BQ8" s="262"/>
      <c r="BR8" s="373"/>
      <c r="BS8" s="260"/>
      <c r="BT8" s="260"/>
      <c r="BU8" s="262"/>
      <c r="BV8" s="262" t="s">
        <v>864</v>
      </c>
      <c r="BW8" s="262"/>
      <c r="BX8" s="260"/>
      <c r="BY8" s="260" t="s">
        <v>948</v>
      </c>
    </row>
    <row r="9" spans="1:77" x14ac:dyDescent="0.15">
      <c r="A9" s="260">
        <v>1137</v>
      </c>
      <c r="B9" s="390">
        <v>43750</v>
      </c>
      <c r="C9" s="261" t="s">
        <v>861</v>
      </c>
      <c r="D9" s="260" t="s">
        <v>454</v>
      </c>
      <c r="E9" s="260">
        <v>1</v>
      </c>
      <c r="F9" s="260" t="s">
        <v>862</v>
      </c>
      <c r="G9" s="270">
        <v>43646</v>
      </c>
      <c r="H9" s="262" t="s">
        <v>863</v>
      </c>
      <c r="I9" s="262" t="s">
        <v>864</v>
      </c>
      <c r="J9" s="262">
        <v>8</v>
      </c>
      <c r="K9" s="260" t="s">
        <v>254</v>
      </c>
      <c r="L9" s="260" t="s">
        <v>327</v>
      </c>
      <c r="M9" s="369">
        <v>110.69999999999999</v>
      </c>
      <c r="N9" s="369">
        <v>48.981818181818177</v>
      </c>
      <c r="O9" s="260" t="s">
        <v>518</v>
      </c>
      <c r="P9" s="263">
        <v>3822</v>
      </c>
      <c r="Q9" s="369">
        <v>51.427272727272722</v>
      </c>
      <c r="R9" s="263"/>
      <c r="S9" s="264"/>
      <c r="T9" s="260"/>
      <c r="U9" s="263"/>
      <c r="V9" s="264"/>
      <c r="W9" s="264"/>
      <c r="X9" s="260"/>
      <c r="Y9" s="260"/>
      <c r="Z9" s="260"/>
      <c r="AA9" s="260"/>
      <c r="AB9" s="260"/>
      <c r="AC9" s="260"/>
      <c r="AD9" s="260"/>
      <c r="AE9" s="264"/>
      <c r="AF9" s="264"/>
      <c r="AG9" s="263"/>
      <c r="AH9" s="260"/>
      <c r="AI9" s="264"/>
      <c r="AJ9" s="260"/>
      <c r="AK9" s="260"/>
      <c r="AL9" s="260"/>
      <c r="AM9" s="260"/>
      <c r="AN9" s="264"/>
      <c r="AO9" s="265"/>
      <c r="AP9" s="264"/>
      <c r="AQ9" s="370" t="s">
        <v>865</v>
      </c>
      <c r="AR9" s="262" t="s">
        <v>864</v>
      </c>
      <c r="AS9" s="262"/>
      <c r="AT9" s="262"/>
      <c r="AU9" s="262">
        <v>5.5</v>
      </c>
      <c r="AV9" s="262"/>
      <c r="AW9" s="262"/>
      <c r="AX9" s="262"/>
      <c r="AY9" s="262"/>
      <c r="AZ9" s="262" t="s">
        <v>153</v>
      </c>
      <c r="BA9" s="260"/>
      <c r="BB9" s="262">
        <v>0</v>
      </c>
      <c r="BC9" s="262">
        <v>0</v>
      </c>
      <c r="BD9" s="262">
        <v>0</v>
      </c>
      <c r="BE9" s="262">
        <v>0</v>
      </c>
      <c r="BF9" s="262">
        <v>0</v>
      </c>
      <c r="BG9" s="262">
        <v>0</v>
      </c>
      <c r="BH9" s="262">
        <v>0</v>
      </c>
      <c r="BI9" s="262">
        <v>0</v>
      </c>
      <c r="BJ9" s="262">
        <v>0</v>
      </c>
      <c r="BK9" s="262">
        <v>0</v>
      </c>
      <c r="BL9" s="262"/>
      <c r="BM9" s="262"/>
      <c r="BN9" s="262"/>
      <c r="BO9" s="262" t="s">
        <v>864</v>
      </c>
      <c r="BP9" s="371"/>
      <c r="BQ9" s="262"/>
      <c r="BR9" s="373"/>
      <c r="BS9" s="260"/>
      <c r="BT9" s="260"/>
      <c r="BU9" s="262"/>
      <c r="BV9" s="262" t="s">
        <v>864</v>
      </c>
      <c r="BW9" s="262"/>
      <c r="BX9" s="260"/>
      <c r="BY9" s="260" t="s">
        <v>951</v>
      </c>
    </row>
    <row r="10" spans="1:77" x14ac:dyDescent="0.15">
      <c r="A10" s="260">
        <v>1501</v>
      </c>
      <c r="B10" s="390">
        <v>43750</v>
      </c>
      <c r="C10" s="261" t="s">
        <v>755</v>
      </c>
      <c r="D10" s="260" t="s">
        <v>454</v>
      </c>
      <c r="E10" s="260">
        <v>1</v>
      </c>
      <c r="F10" s="260" t="s">
        <v>756</v>
      </c>
      <c r="G10" s="270">
        <v>43677</v>
      </c>
      <c r="H10" s="262" t="s">
        <v>757</v>
      </c>
      <c r="I10" s="262" t="s">
        <v>758</v>
      </c>
      <c r="J10" s="262">
        <v>9</v>
      </c>
      <c r="K10" s="260" t="s">
        <v>495</v>
      </c>
      <c r="L10" s="260" t="s">
        <v>781</v>
      </c>
      <c r="M10" s="369">
        <v>155.99999999999997</v>
      </c>
      <c r="N10" s="369">
        <v>47.3</v>
      </c>
      <c r="O10" s="260"/>
      <c r="P10" s="263"/>
      <c r="Q10" s="264"/>
      <c r="R10" s="263"/>
      <c r="S10" s="264"/>
      <c r="T10" s="260"/>
      <c r="U10" s="260"/>
      <c r="V10" s="264"/>
      <c r="W10" s="264"/>
      <c r="X10" s="260"/>
      <c r="Y10" s="260"/>
      <c r="Z10" s="260"/>
      <c r="AA10" s="260"/>
      <c r="AB10" s="260"/>
      <c r="AC10" s="260"/>
      <c r="AD10" s="260"/>
      <c r="AE10" s="264"/>
      <c r="AF10" s="264"/>
      <c r="AG10" s="263"/>
      <c r="AH10" s="260"/>
      <c r="AI10" s="264"/>
      <c r="AJ10" s="260"/>
      <c r="AK10" s="260"/>
      <c r="AL10" s="260"/>
      <c r="AM10" s="260"/>
      <c r="AN10" s="264"/>
      <c r="AO10" s="265"/>
      <c r="AP10" s="264"/>
      <c r="AQ10" s="370" t="s">
        <v>761</v>
      </c>
      <c r="AR10" s="262" t="s">
        <v>758</v>
      </c>
      <c r="AS10" s="262"/>
      <c r="AT10" s="262"/>
      <c r="AU10" s="262">
        <v>5</v>
      </c>
      <c r="AV10" s="262"/>
      <c r="AW10" s="262"/>
      <c r="AX10" s="262"/>
      <c r="AY10" s="262"/>
      <c r="AZ10" s="262" t="s">
        <v>762</v>
      </c>
      <c r="BA10" s="260"/>
      <c r="BB10" s="262">
        <v>0</v>
      </c>
      <c r="BC10" s="262">
        <v>0</v>
      </c>
      <c r="BD10" s="262">
        <v>0</v>
      </c>
      <c r="BE10" s="262">
        <v>0</v>
      </c>
      <c r="BF10" s="262">
        <v>0</v>
      </c>
      <c r="BG10" s="262">
        <v>0</v>
      </c>
      <c r="BH10" s="262">
        <v>0</v>
      </c>
      <c r="BI10" s="262">
        <v>0</v>
      </c>
      <c r="BJ10" s="262">
        <v>0</v>
      </c>
      <c r="BK10" s="262">
        <v>0</v>
      </c>
      <c r="BL10" s="262"/>
      <c r="BM10" s="262"/>
      <c r="BN10" s="262"/>
      <c r="BO10" s="262" t="s">
        <v>758</v>
      </c>
      <c r="BP10" s="371"/>
      <c r="BQ10" s="262"/>
      <c r="BR10" s="262"/>
      <c r="BS10" s="260"/>
      <c r="BT10" s="260"/>
      <c r="BU10" s="262"/>
      <c r="BV10" s="262" t="s">
        <v>758</v>
      </c>
      <c r="BW10" s="262">
        <v>1</v>
      </c>
      <c r="BX10" s="260"/>
      <c r="BY10" s="374" t="s">
        <v>954</v>
      </c>
    </row>
    <row r="11" spans="1:77" x14ac:dyDescent="0.15">
      <c r="A11" s="260">
        <v>591</v>
      </c>
      <c r="B11" s="390">
        <v>43750</v>
      </c>
      <c r="C11" s="261" t="s">
        <v>453</v>
      </c>
      <c r="D11" s="260" t="s">
        <v>454</v>
      </c>
      <c r="E11" s="260">
        <v>1</v>
      </c>
      <c r="F11" s="260" t="s">
        <v>455</v>
      </c>
      <c r="G11" s="270">
        <v>43727</v>
      </c>
      <c r="H11" s="262" t="s">
        <v>456</v>
      </c>
      <c r="I11" s="262" t="s">
        <v>457</v>
      </c>
      <c r="J11" s="262">
        <v>10</v>
      </c>
      <c r="K11" s="260" t="s">
        <v>875</v>
      </c>
      <c r="L11" s="260" t="s">
        <v>595</v>
      </c>
      <c r="M11" s="369">
        <v>84.545454545454533</v>
      </c>
      <c r="N11" s="369">
        <v>36.818181818181813</v>
      </c>
      <c r="O11" s="260"/>
      <c r="P11" s="263"/>
      <c r="Q11" s="264"/>
      <c r="R11" s="263"/>
      <c r="S11" s="264"/>
      <c r="T11" s="263"/>
      <c r="U11" s="260"/>
      <c r="V11" s="264"/>
      <c r="W11" s="264"/>
      <c r="X11" s="263"/>
      <c r="Y11" s="260"/>
      <c r="Z11" s="263"/>
      <c r="AA11" s="260"/>
      <c r="AB11" s="263"/>
      <c r="AC11" s="260"/>
      <c r="AD11" s="260"/>
      <c r="AE11" s="264"/>
      <c r="AF11" s="264"/>
      <c r="AG11" s="263"/>
      <c r="AH11" s="260"/>
      <c r="AI11" s="264"/>
      <c r="AJ11" s="260"/>
      <c r="AK11" s="260"/>
      <c r="AL11" s="260"/>
      <c r="AM11" s="260"/>
      <c r="AN11" s="264"/>
      <c r="AO11" s="265"/>
      <c r="AP11" s="264"/>
      <c r="AQ11" s="370" t="s">
        <v>460</v>
      </c>
      <c r="AR11" s="262" t="s">
        <v>457</v>
      </c>
      <c r="AS11" s="262"/>
      <c r="AT11" s="262"/>
      <c r="AU11" s="262">
        <v>6</v>
      </c>
      <c r="AV11" s="262"/>
      <c r="AW11" s="262"/>
      <c r="AX11" s="262"/>
      <c r="AY11" s="262"/>
      <c r="AZ11" s="262" t="s">
        <v>462</v>
      </c>
      <c r="BA11" s="260"/>
      <c r="BB11" s="262">
        <v>0</v>
      </c>
      <c r="BC11" s="262">
        <v>0</v>
      </c>
      <c r="BD11" s="262">
        <v>0</v>
      </c>
      <c r="BE11" s="262">
        <v>0</v>
      </c>
      <c r="BF11" s="262">
        <v>0</v>
      </c>
      <c r="BG11" s="262">
        <v>0</v>
      </c>
      <c r="BH11" s="262">
        <v>0</v>
      </c>
      <c r="BI11" s="262">
        <v>0</v>
      </c>
      <c r="BJ11" s="262">
        <v>0</v>
      </c>
      <c r="BK11" s="262">
        <v>0</v>
      </c>
      <c r="BL11" s="262"/>
      <c r="BM11" s="262"/>
      <c r="BN11" s="262"/>
      <c r="BO11" s="262" t="s">
        <v>457</v>
      </c>
      <c r="BP11" s="375">
        <v>177.21818181818179</v>
      </c>
      <c r="BQ11" s="262"/>
      <c r="BR11" s="373"/>
      <c r="BS11" s="266"/>
      <c r="BT11" s="266"/>
      <c r="BU11" s="266"/>
      <c r="BV11" s="262" t="s">
        <v>457</v>
      </c>
      <c r="BW11" s="262"/>
      <c r="BX11" s="260" t="s">
        <v>785</v>
      </c>
      <c r="BY11" s="260" t="s">
        <v>985</v>
      </c>
    </row>
    <row r="12" spans="1:77" x14ac:dyDescent="0.15">
      <c r="A12" s="260">
        <v>2032</v>
      </c>
      <c r="B12" s="390">
        <v>43750</v>
      </c>
      <c r="C12" s="261" t="s">
        <v>191</v>
      </c>
      <c r="D12" s="260" t="s">
        <v>454</v>
      </c>
      <c r="E12" s="260">
        <v>1</v>
      </c>
      <c r="F12" s="260" t="s">
        <v>181</v>
      </c>
      <c r="G12" s="270">
        <v>43677</v>
      </c>
      <c r="H12" s="262" t="s">
        <v>863</v>
      </c>
      <c r="I12" s="262" t="s">
        <v>864</v>
      </c>
      <c r="J12" s="262">
        <v>11</v>
      </c>
      <c r="K12" s="260" t="s">
        <v>691</v>
      </c>
      <c r="L12" s="260" t="s">
        <v>791</v>
      </c>
      <c r="M12" s="369">
        <v>66.563636363636363</v>
      </c>
      <c r="N12" s="369">
        <v>50.599999999999994</v>
      </c>
      <c r="O12" s="260"/>
      <c r="P12" s="263"/>
      <c r="Q12" s="264"/>
      <c r="R12" s="263"/>
      <c r="S12" s="264"/>
      <c r="T12" s="263"/>
      <c r="U12" s="260"/>
      <c r="V12" s="264"/>
      <c r="W12" s="264"/>
      <c r="X12" s="260"/>
      <c r="Y12" s="260"/>
      <c r="Z12" s="260"/>
      <c r="AA12" s="260"/>
      <c r="AB12" s="260"/>
      <c r="AC12" s="260"/>
      <c r="AD12" s="260"/>
      <c r="AE12" s="264"/>
      <c r="AF12" s="264"/>
      <c r="AG12" s="260"/>
      <c r="AH12" s="260"/>
      <c r="AI12" s="264"/>
      <c r="AJ12" s="260"/>
      <c r="AK12" s="260"/>
      <c r="AL12" s="260"/>
      <c r="AM12" s="260"/>
      <c r="AN12" s="264"/>
      <c r="AO12" s="265"/>
      <c r="AP12" s="264"/>
      <c r="AQ12" s="370" t="s">
        <v>140</v>
      </c>
      <c r="AR12" s="262" t="s">
        <v>153</v>
      </c>
      <c r="AS12" s="262"/>
      <c r="AT12" s="262"/>
      <c r="AU12" s="262"/>
      <c r="AV12" s="262"/>
      <c r="AW12" s="262"/>
      <c r="AX12" s="262"/>
      <c r="AY12" s="262"/>
      <c r="AZ12" s="262" t="s">
        <v>869</v>
      </c>
      <c r="BA12" s="260"/>
      <c r="BB12" s="262">
        <v>0</v>
      </c>
      <c r="BC12" s="262">
        <v>0</v>
      </c>
      <c r="BD12" s="262">
        <v>0</v>
      </c>
      <c r="BE12" s="262">
        <v>0</v>
      </c>
      <c r="BF12" s="262">
        <v>0</v>
      </c>
      <c r="BG12" s="262">
        <v>0</v>
      </c>
      <c r="BH12" s="262">
        <v>0</v>
      </c>
      <c r="BI12" s="262">
        <v>0</v>
      </c>
      <c r="BJ12" s="262">
        <v>0</v>
      </c>
      <c r="BK12" s="262">
        <v>0</v>
      </c>
      <c r="BL12" s="262"/>
      <c r="BM12" s="262"/>
      <c r="BN12" s="262"/>
      <c r="BO12" s="262" t="s">
        <v>153</v>
      </c>
      <c r="BP12" s="371"/>
      <c r="BQ12" s="262"/>
      <c r="BR12" s="262"/>
      <c r="BS12" s="266"/>
      <c r="BT12" s="266"/>
      <c r="BU12" s="262"/>
      <c r="BV12" s="262" t="s">
        <v>153</v>
      </c>
      <c r="BW12" s="262">
        <v>1</v>
      </c>
      <c r="BX12" s="260"/>
      <c r="BY12" s="260" t="s">
        <v>959</v>
      </c>
    </row>
    <row r="13" spans="1:77" x14ac:dyDescent="0.15">
      <c r="A13" s="260">
        <v>2100</v>
      </c>
      <c r="B13" s="390">
        <v>43750</v>
      </c>
      <c r="C13" s="261" t="s">
        <v>755</v>
      </c>
      <c r="D13" s="260" t="s">
        <v>454</v>
      </c>
      <c r="E13" s="260">
        <v>1</v>
      </c>
      <c r="F13" s="260" t="s">
        <v>756</v>
      </c>
      <c r="G13" s="267">
        <v>43669</v>
      </c>
      <c r="H13" s="262" t="s">
        <v>175</v>
      </c>
      <c r="I13" s="262" t="s">
        <v>174</v>
      </c>
      <c r="J13" s="262">
        <v>12</v>
      </c>
      <c r="K13" s="260" t="s">
        <v>794</v>
      </c>
      <c r="L13" s="260" t="s">
        <v>734</v>
      </c>
      <c r="M13" s="369">
        <v>97.999999999999986</v>
      </c>
      <c r="N13" s="369">
        <v>44.563636363636363</v>
      </c>
      <c r="O13" s="260"/>
      <c r="P13" s="263"/>
      <c r="Q13" s="264"/>
      <c r="R13" s="263"/>
      <c r="S13" s="264"/>
      <c r="T13" s="263"/>
      <c r="U13" s="260"/>
      <c r="V13" s="264"/>
      <c r="W13" s="264"/>
      <c r="X13" s="260"/>
      <c r="Y13" s="260"/>
      <c r="Z13" s="260"/>
      <c r="AA13" s="260"/>
      <c r="AB13" s="260"/>
      <c r="AC13" s="260"/>
      <c r="AD13" s="260"/>
      <c r="AE13" s="264"/>
      <c r="AF13" s="264"/>
      <c r="AG13" s="263"/>
      <c r="AH13" s="260"/>
      <c r="AI13" s="264"/>
      <c r="AJ13" s="260"/>
      <c r="AK13" s="260"/>
      <c r="AL13" s="260"/>
      <c r="AM13" s="260"/>
      <c r="AN13" s="264"/>
      <c r="AO13" s="265"/>
      <c r="AP13" s="264"/>
      <c r="AQ13" s="260" t="s">
        <v>761</v>
      </c>
      <c r="AR13" s="262" t="s">
        <v>758</v>
      </c>
      <c r="AS13" s="262"/>
      <c r="AT13" s="262"/>
      <c r="AU13" s="262">
        <v>5.5</v>
      </c>
      <c r="AV13" s="262"/>
      <c r="AW13" s="262"/>
      <c r="AX13" s="262"/>
      <c r="AY13" s="262"/>
      <c r="AZ13" s="262" t="s">
        <v>361</v>
      </c>
      <c r="BA13" s="260"/>
      <c r="BB13" s="262">
        <v>0</v>
      </c>
      <c r="BC13" s="262">
        <v>0</v>
      </c>
      <c r="BD13" s="262">
        <v>0</v>
      </c>
      <c r="BE13" s="262">
        <v>0</v>
      </c>
      <c r="BF13" s="262">
        <v>0</v>
      </c>
      <c r="BG13" s="262">
        <v>0</v>
      </c>
      <c r="BH13" s="262">
        <v>0</v>
      </c>
      <c r="BI13" s="262">
        <v>0</v>
      </c>
      <c r="BJ13" s="262">
        <v>0</v>
      </c>
      <c r="BK13" s="262">
        <v>0</v>
      </c>
      <c r="BL13" s="262"/>
      <c r="BM13" s="262"/>
      <c r="BN13" s="262"/>
      <c r="BO13" s="262" t="s">
        <v>758</v>
      </c>
      <c r="BP13" s="371"/>
      <c r="BQ13" s="262"/>
      <c r="BR13" s="262"/>
      <c r="BS13" s="266"/>
      <c r="BT13" s="266"/>
      <c r="BU13" s="262"/>
      <c r="BV13" s="262" t="s">
        <v>174</v>
      </c>
      <c r="BW13" s="262"/>
      <c r="BX13" s="266"/>
      <c r="BY13" s="260" t="s">
        <v>962</v>
      </c>
    </row>
    <row r="14" spans="1:77" x14ac:dyDescent="0.15">
      <c r="A14" s="260">
        <v>514</v>
      </c>
      <c r="B14" s="390">
        <v>43750</v>
      </c>
      <c r="C14" s="261" t="s">
        <v>191</v>
      </c>
      <c r="D14" s="260" t="s">
        <v>454</v>
      </c>
      <c r="E14" s="260">
        <v>1</v>
      </c>
      <c r="F14" s="260" t="s">
        <v>181</v>
      </c>
      <c r="G14" s="267">
        <v>43655</v>
      </c>
      <c r="H14" s="262" t="s">
        <v>150</v>
      </c>
      <c r="I14" s="262" t="s">
        <v>153</v>
      </c>
      <c r="J14" s="262">
        <v>13</v>
      </c>
      <c r="K14" s="260" t="s">
        <v>881</v>
      </c>
      <c r="L14" s="260" t="s">
        <v>916</v>
      </c>
      <c r="M14" s="369">
        <v>115.99999999999999</v>
      </c>
      <c r="N14" s="369">
        <v>48.8</v>
      </c>
      <c r="O14" s="260"/>
      <c r="P14" s="263"/>
      <c r="Q14" s="264"/>
      <c r="R14" s="263"/>
      <c r="S14" s="264"/>
      <c r="T14" s="263"/>
      <c r="U14" s="260"/>
      <c r="V14" s="264"/>
      <c r="W14" s="264"/>
      <c r="X14" s="260"/>
      <c r="Y14" s="260"/>
      <c r="Z14" s="260"/>
      <c r="AA14" s="260"/>
      <c r="AB14" s="260"/>
      <c r="AC14" s="260"/>
      <c r="AD14" s="260"/>
      <c r="AE14" s="264"/>
      <c r="AF14" s="264"/>
      <c r="AG14" s="260"/>
      <c r="AH14" s="260"/>
      <c r="AI14" s="264"/>
      <c r="AJ14" s="260"/>
      <c r="AK14" s="260"/>
      <c r="AL14" s="260"/>
      <c r="AM14" s="260"/>
      <c r="AN14" s="264"/>
      <c r="AO14" s="265"/>
      <c r="AP14" s="264"/>
      <c r="AQ14" s="370" t="s">
        <v>140</v>
      </c>
      <c r="AR14" s="262" t="s">
        <v>153</v>
      </c>
      <c r="AS14" s="262"/>
      <c r="AT14" s="262"/>
      <c r="AU14" s="262">
        <v>1</v>
      </c>
      <c r="AV14" s="262"/>
      <c r="AW14" s="262"/>
      <c r="AX14" s="262"/>
      <c r="AY14" s="262"/>
      <c r="AZ14" s="262" t="s">
        <v>153</v>
      </c>
      <c r="BA14" s="260"/>
      <c r="BB14" s="262">
        <v>0</v>
      </c>
      <c r="BC14" s="262">
        <v>0</v>
      </c>
      <c r="BD14" s="262">
        <v>0</v>
      </c>
      <c r="BE14" s="262">
        <v>0</v>
      </c>
      <c r="BF14" s="262">
        <v>0</v>
      </c>
      <c r="BG14" s="262">
        <v>0</v>
      </c>
      <c r="BH14" s="262">
        <v>0</v>
      </c>
      <c r="BI14" s="262">
        <v>0</v>
      </c>
      <c r="BJ14" s="262">
        <v>0</v>
      </c>
      <c r="BK14" s="262">
        <v>0</v>
      </c>
      <c r="BL14" s="262"/>
      <c r="BM14" s="262"/>
      <c r="BN14" s="262"/>
      <c r="BO14" s="262" t="s">
        <v>153</v>
      </c>
      <c r="BP14" s="371"/>
      <c r="BQ14" s="262"/>
      <c r="BR14" s="262"/>
      <c r="BS14" s="266"/>
      <c r="BT14" s="266"/>
      <c r="BU14" s="262"/>
      <c r="BV14" s="262" t="s">
        <v>153</v>
      </c>
      <c r="BW14" s="262">
        <v>1</v>
      </c>
      <c r="BX14" s="260"/>
      <c r="BY14" s="260" t="s">
        <v>964</v>
      </c>
    </row>
    <row r="15" spans="1:77" x14ac:dyDescent="0.15">
      <c r="A15" s="260">
        <v>282</v>
      </c>
      <c r="B15" s="390">
        <v>43750</v>
      </c>
      <c r="C15" s="261" t="s">
        <v>755</v>
      </c>
      <c r="D15" s="260" t="s">
        <v>454</v>
      </c>
      <c r="E15" s="260">
        <v>1</v>
      </c>
      <c r="F15" s="260" t="s">
        <v>756</v>
      </c>
      <c r="G15" s="267">
        <v>43665</v>
      </c>
      <c r="H15" s="262" t="s">
        <v>175</v>
      </c>
      <c r="I15" s="262" t="s">
        <v>174</v>
      </c>
      <c r="J15" s="262">
        <v>15</v>
      </c>
      <c r="K15" s="260" t="s">
        <v>802</v>
      </c>
      <c r="L15" s="260" t="s">
        <v>884</v>
      </c>
      <c r="M15" s="369">
        <v>160</v>
      </c>
      <c r="N15" s="369">
        <v>40.909090909090907</v>
      </c>
      <c r="O15" s="260"/>
      <c r="P15" s="263"/>
      <c r="Q15" s="264"/>
      <c r="R15" s="263"/>
      <c r="S15" s="264"/>
      <c r="T15" s="263"/>
      <c r="U15" s="260"/>
      <c r="V15" s="264"/>
      <c r="W15" s="264"/>
      <c r="X15" s="260"/>
      <c r="Y15" s="260"/>
      <c r="Z15" s="260"/>
      <c r="AA15" s="260"/>
      <c r="AB15" s="260"/>
      <c r="AC15" s="260"/>
      <c r="AD15" s="260"/>
      <c r="AE15" s="264"/>
      <c r="AF15" s="264"/>
      <c r="AG15" s="263"/>
      <c r="AH15" s="260"/>
      <c r="AI15" s="264"/>
      <c r="AJ15" s="260"/>
      <c r="AK15" s="260"/>
      <c r="AL15" s="260"/>
      <c r="AM15" s="260"/>
      <c r="AN15" s="264"/>
      <c r="AO15" s="265"/>
      <c r="AP15" s="264"/>
      <c r="AQ15" s="260" t="s">
        <v>761</v>
      </c>
      <c r="AR15" s="262" t="s">
        <v>758</v>
      </c>
      <c r="AS15" s="262"/>
      <c r="AT15" s="262"/>
      <c r="AU15" s="262">
        <v>5</v>
      </c>
      <c r="AV15" s="262"/>
      <c r="AW15" s="262"/>
      <c r="AX15" s="262"/>
      <c r="AY15" s="262"/>
      <c r="AZ15" s="262" t="s">
        <v>758</v>
      </c>
      <c r="BA15" s="260"/>
      <c r="BB15" s="262">
        <v>0</v>
      </c>
      <c r="BC15" s="262">
        <v>0</v>
      </c>
      <c r="BD15" s="262">
        <v>0</v>
      </c>
      <c r="BE15" s="262">
        <v>0</v>
      </c>
      <c r="BF15" s="262">
        <v>0</v>
      </c>
      <c r="BG15" s="262">
        <v>0</v>
      </c>
      <c r="BH15" s="262">
        <v>0</v>
      </c>
      <c r="BI15" s="262">
        <v>0</v>
      </c>
      <c r="BJ15" s="262">
        <v>0</v>
      </c>
      <c r="BK15" s="262">
        <v>0</v>
      </c>
      <c r="BL15" s="262"/>
      <c r="BM15" s="262"/>
      <c r="BN15" s="262"/>
      <c r="BO15" s="262" t="s">
        <v>758</v>
      </c>
      <c r="BP15" s="371"/>
      <c r="BQ15" s="262"/>
      <c r="BR15" s="262"/>
      <c r="BS15" s="260"/>
      <c r="BT15" s="260"/>
      <c r="BU15" s="262"/>
      <c r="BV15" s="262" t="s">
        <v>758</v>
      </c>
      <c r="BW15" s="262">
        <v>1</v>
      </c>
      <c r="BX15" s="260"/>
      <c r="BY15" s="260" t="s">
        <v>967</v>
      </c>
    </row>
    <row r="16" spans="1:77" x14ac:dyDescent="0.15">
      <c r="A16" s="260">
        <v>2220</v>
      </c>
      <c r="B16" s="390">
        <v>43750</v>
      </c>
      <c r="C16" s="261" t="s">
        <v>453</v>
      </c>
      <c r="D16" s="260" t="s">
        <v>454</v>
      </c>
      <c r="E16" s="260">
        <v>1</v>
      </c>
      <c r="F16" s="260" t="s">
        <v>455</v>
      </c>
      <c r="G16" s="270">
        <v>43704</v>
      </c>
      <c r="H16" s="262" t="s">
        <v>456</v>
      </c>
      <c r="I16" s="262" t="s">
        <v>457</v>
      </c>
      <c r="J16" s="262">
        <v>16</v>
      </c>
      <c r="K16" s="260" t="s">
        <v>303</v>
      </c>
      <c r="L16" s="260" t="s">
        <v>919</v>
      </c>
      <c r="M16" s="369">
        <v>191.2</v>
      </c>
      <c r="N16" s="369">
        <v>41.099999999999994</v>
      </c>
      <c r="O16" s="260"/>
      <c r="P16" s="263"/>
      <c r="Q16" s="264"/>
      <c r="R16" s="263"/>
      <c r="S16" s="264"/>
      <c r="T16" s="263"/>
      <c r="U16" s="260"/>
      <c r="V16" s="264"/>
      <c r="W16" s="264"/>
      <c r="X16" s="263"/>
      <c r="Y16" s="260"/>
      <c r="Z16" s="263"/>
      <c r="AA16" s="260"/>
      <c r="AB16" s="263"/>
      <c r="AC16" s="260"/>
      <c r="AD16" s="260"/>
      <c r="AE16" s="264"/>
      <c r="AF16" s="264"/>
      <c r="AG16" s="263"/>
      <c r="AH16" s="260"/>
      <c r="AI16" s="264"/>
      <c r="AJ16" s="260"/>
      <c r="AK16" s="260"/>
      <c r="AL16" s="260"/>
      <c r="AM16" s="260"/>
      <c r="AN16" s="264"/>
      <c r="AO16" s="265"/>
      <c r="AP16" s="264"/>
      <c r="AQ16" s="370" t="s">
        <v>460</v>
      </c>
      <c r="AR16" s="262" t="s">
        <v>457</v>
      </c>
      <c r="AS16" s="262"/>
      <c r="AT16" s="262"/>
      <c r="AU16" s="262">
        <v>3.5</v>
      </c>
      <c r="AV16" s="262"/>
      <c r="AW16" s="262"/>
      <c r="AX16" s="262"/>
      <c r="AY16" s="262"/>
      <c r="AZ16" s="262" t="s">
        <v>462</v>
      </c>
      <c r="BA16" s="260"/>
      <c r="BB16" s="262">
        <v>0</v>
      </c>
      <c r="BC16" s="262">
        <v>0</v>
      </c>
      <c r="BD16" s="262">
        <v>0</v>
      </c>
      <c r="BE16" s="262">
        <v>0</v>
      </c>
      <c r="BF16" s="262">
        <v>0</v>
      </c>
      <c r="BG16" s="262">
        <v>0</v>
      </c>
      <c r="BH16" s="262">
        <v>0</v>
      </c>
      <c r="BI16" s="262">
        <v>0</v>
      </c>
      <c r="BJ16" s="262">
        <v>0</v>
      </c>
      <c r="BK16" s="262">
        <v>0</v>
      </c>
      <c r="BL16" s="262"/>
      <c r="BM16" s="262"/>
      <c r="BN16" s="262"/>
      <c r="BO16" s="262" t="s">
        <v>457</v>
      </c>
      <c r="BP16" s="371"/>
      <c r="BQ16" s="262"/>
      <c r="BR16" s="262"/>
      <c r="BS16" s="260"/>
      <c r="BT16" s="260"/>
      <c r="BU16" s="262"/>
      <c r="BV16" s="262" t="s">
        <v>457</v>
      </c>
      <c r="BW16" s="262"/>
      <c r="BX16" s="260"/>
      <c r="BY16" s="260" t="s">
        <v>970</v>
      </c>
    </row>
    <row r="17" spans="1:77" x14ac:dyDescent="0.15">
      <c r="A17" s="260">
        <v>2</v>
      </c>
      <c r="B17" s="390">
        <v>43750</v>
      </c>
      <c r="C17" s="261" t="s">
        <v>453</v>
      </c>
      <c r="D17" s="260" t="s">
        <v>454</v>
      </c>
      <c r="E17" s="260">
        <v>1</v>
      </c>
      <c r="F17" s="260" t="s">
        <v>455</v>
      </c>
      <c r="G17" s="270">
        <v>43721</v>
      </c>
      <c r="H17" s="262" t="s">
        <v>456</v>
      </c>
      <c r="I17" s="262" t="s">
        <v>457</v>
      </c>
      <c r="J17" s="262">
        <v>17</v>
      </c>
      <c r="K17" s="260" t="s">
        <v>805</v>
      </c>
      <c r="L17" s="260" t="s">
        <v>806</v>
      </c>
      <c r="M17" s="369">
        <v>96.22727272727272</v>
      </c>
      <c r="N17" s="369">
        <v>45.918181818181814</v>
      </c>
      <c r="O17" s="260"/>
      <c r="P17" s="263"/>
      <c r="Q17" s="264"/>
      <c r="R17" s="263"/>
      <c r="S17" s="264"/>
      <c r="T17" s="263"/>
      <c r="U17" s="260"/>
      <c r="V17" s="264"/>
      <c r="W17" s="264"/>
      <c r="X17" s="263"/>
      <c r="Y17" s="260"/>
      <c r="Z17" s="263"/>
      <c r="AA17" s="260"/>
      <c r="AB17" s="263"/>
      <c r="AC17" s="260"/>
      <c r="AD17" s="260"/>
      <c r="AE17" s="264"/>
      <c r="AF17" s="264"/>
      <c r="AG17" s="263"/>
      <c r="AH17" s="260"/>
      <c r="AI17" s="264"/>
      <c r="AJ17" s="260"/>
      <c r="AK17" s="260"/>
      <c r="AL17" s="260"/>
      <c r="AM17" s="260"/>
      <c r="AN17" s="264"/>
      <c r="AO17" s="265"/>
      <c r="AP17" s="264"/>
      <c r="AQ17" s="370" t="s">
        <v>460</v>
      </c>
      <c r="AR17" s="262" t="s">
        <v>457</v>
      </c>
      <c r="AS17" s="262"/>
      <c r="AT17" s="262"/>
      <c r="AU17" s="262">
        <v>7</v>
      </c>
      <c r="AV17" s="262"/>
      <c r="AW17" s="262"/>
      <c r="AX17" s="262"/>
      <c r="AY17" s="262"/>
      <c r="AZ17" s="262" t="s">
        <v>457</v>
      </c>
      <c r="BA17" s="260"/>
      <c r="BB17" s="262">
        <v>0</v>
      </c>
      <c r="BC17" s="262">
        <v>0</v>
      </c>
      <c r="BD17" s="262">
        <v>0</v>
      </c>
      <c r="BE17" s="262">
        <v>0</v>
      </c>
      <c r="BF17" s="262">
        <v>0</v>
      </c>
      <c r="BG17" s="262">
        <v>0</v>
      </c>
      <c r="BH17" s="262">
        <v>0</v>
      </c>
      <c r="BI17" s="262">
        <v>0</v>
      </c>
      <c r="BJ17" s="262">
        <v>0</v>
      </c>
      <c r="BK17" s="262">
        <v>0</v>
      </c>
      <c r="BL17" s="262"/>
      <c r="BM17" s="262"/>
      <c r="BN17" s="262"/>
      <c r="BO17" s="262" t="s">
        <v>457</v>
      </c>
      <c r="BP17" s="371"/>
      <c r="BQ17" s="262"/>
      <c r="BR17" s="262"/>
      <c r="BS17" s="260"/>
      <c r="BT17" s="260"/>
      <c r="BU17" s="262"/>
      <c r="BV17" s="262" t="s">
        <v>457</v>
      </c>
      <c r="BW17" s="262"/>
      <c r="BX17" s="260"/>
      <c r="BY17" s="260" t="s">
        <v>973</v>
      </c>
    </row>
    <row r="18" spans="1:77" x14ac:dyDescent="0.15">
      <c r="A18" s="260" t="s">
        <v>976</v>
      </c>
      <c r="B18" s="390">
        <v>43750</v>
      </c>
      <c r="C18" s="261" t="s">
        <v>453</v>
      </c>
      <c r="D18" s="260" t="s">
        <v>454</v>
      </c>
      <c r="E18" s="260">
        <v>1</v>
      </c>
      <c r="F18" s="260" t="s">
        <v>455</v>
      </c>
      <c r="G18" s="270">
        <v>43646</v>
      </c>
      <c r="H18" s="262" t="s">
        <v>456</v>
      </c>
      <c r="I18" s="262" t="s">
        <v>457</v>
      </c>
      <c r="J18" s="262">
        <v>17</v>
      </c>
      <c r="K18" s="260" t="s">
        <v>977</v>
      </c>
      <c r="L18" s="260" t="s">
        <v>978</v>
      </c>
      <c r="M18" s="369">
        <v>169.5181818181818</v>
      </c>
      <c r="N18" s="369">
        <v>37.472727272727269</v>
      </c>
      <c r="O18" s="260"/>
      <c r="P18" s="263"/>
      <c r="Q18" s="264"/>
      <c r="R18" s="263"/>
      <c r="S18" s="264"/>
      <c r="T18" s="263"/>
      <c r="U18" s="260"/>
      <c r="V18" s="264"/>
      <c r="W18" s="264"/>
      <c r="X18" s="263"/>
      <c r="Y18" s="260"/>
      <c r="Z18" s="263"/>
      <c r="AA18" s="260"/>
      <c r="AB18" s="263"/>
      <c r="AC18" s="260"/>
      <c r="AD18" s="260"/>
      <c r="AE18" s="264"/>
      <c r="AF18" s="264"/>
      <c r="AG18" s="263"/>
      <c r="AH18" s="260"/>
      <c r="AI18" s="264"/>
      <c r="AJ18" s="260"/>
      <c r="AK18" s="260"/>
      <c r="AL18" s="260"/>
      <c r="AM18" s="260"/>
      <c r="AN18" s="264"/>
      <c r="AO18" s="265"/>
      <c r="AP18" s="264"/>
      <c r="AQ18" s="370" t="s">
        <v>460</v>
      </c>
      <c r="AR18" s="262" t="s">
        <v>457</v>
      </c>
      <c r="AS18" s="262"/>
      <c r="AT18" s="262"/>
      <c r="AU18" s="262">
        <v>5</v>
      </c>
      <c r="AV18" s="262"/>
      <c r="AW18" s="262"/>
      <c r="AX18" s="262"/>
      <c r="AY18" s="262"/>
      <c r="AZ18" s="262" t="s">
        <v>457</v>
      </c>
      <c r="BA18" s="260"/>
      <c r="BB18" s="262">
        <v>0</v>
      </c>
      <c r="BC18" s="262">
        <v>0</v>
      </c>
      <c r="BD18" s="262">
        <v>0</v>
      </c>
      <c r="BE18" s="262">
        <v>0</v>
      </c>
      <c r="BF18" s="262">
        <v>0</v>
      </c>
      <c r="BG18" s="262">
        <v>0</v>
      </c>
      <c r="BH18" s="262">
        <v>0</v>
      </c>
      <c r="BI18" s="262">
        <v>0</v>
      </c>
      <c r="BJ18" s="262">
        <v>0</v>
      </c>
      <c r="BK18" s="262">
        <v>0</v>
      </c>
      <c r="BL18" s="262">
        <v>12</v>
      </c>
      <c r="BM18" s="262"/>
      <c r="BN18" s="262">
        <v>12</v>
      </c>
      <c r="BO18" s="262" t="s">
        <v>457</v>
      </c>
      <c r="BP18" s="371"/>
      <c r="BQ18" s="262">
        <v>12</v>
      </c>
      <c r="BR18" s="262"/>
      <c r="BS18" s="260"/>
      <c r="BT18" s="260"/>
      <c r="BU18" s="262"/>
      <c r="BV18" s="262" t="s">
        <v>457</v>
      </c>
      <c r="BW18" s="262">
        <v>1</v>
      </c>
      <c r="BX18" s="260"/>
      <c r="BY18" s="260" t="s">
        <v>979</v>
      </c>
    </row>
    <row r="19" spans="1:77" x14ac:dyDescent="0.15">
      <c r="A19" s="260" t="s">
        <v>976</v>
      </c>
      <c r="B19" s="390">
        <v>43750</v>
      </c>
      <c r="C19" s="261" t="s">
        <v>453</v>
      </c>
      <c r="D19" s="260" t="s">
        <v>454</v>
      </c>
      <c r="E19" s="260">
        <v>1</v>
      </c>
      <c r="F19" s="260" t="s">
        <v>455</v>
      </c>
      <c r="G19" s="270">
        <v>43685</v>
      </c>
      <c r="H19" s="262" t="s">
        <v>456</v>
      </c>
      <c r="I19" s="262" t="s">
        <v>457</v>
      </c>
      <c r="J19" s="262">
        <v>17</v>
      </c>
      <c r="K19" s="260" t="s">
        <v>597</v>
      </c>
      <c r="L19" s="260" t="s">
        <v>787</v>
      </c>
      <c r="M19" s="369">
        <v>142.16363636363636</v>
      </c>
      <c r="N19" s="369">
        <v>47.854545454545452</v>
      </c>
      <c r="O19" s="260"/>
      <c r="P19" s="263"/>
      <c r="Q19" s="264"/>
      <c r="R19" s="263"/>
      <c r="S19" s="264"/>
      <c r="T19" s="263"/>
      <c r="U19" s="260"/>
      <c r="V19" s="264"/>
      <c r="W19" s="264"/>
      <c r="X19" s="263"/>
      <c r="Y19" s="260"/>
      <c r="Z19" s="263"/>
      <c r="AA19" s="260"/>
      <c r="AB19" s="263"/>
      <c r="AC19" s="260"/>
      <c r="AD19" s="260"/>
      <c r="AE19" s="264"/>
      <c r="AF19" s="264"/>
      <c r="AG19" s="263"/>
      <c r="AH19" s="260"/>
      <c r="AI19" s="264"/>
      <c r="AJ19" s="260"/>
      <c r="AK19" s="260"/>
      <c r="AL19" s="260"/>
      <c r="AM19" s="260"/>
      <c r="AN19" s="264"/>
      <c r="AO19" s="265"/>
      <c r="AP19" s="264"/>
      <c r="AQ19" s="370" t="s">
        <v>460</v>
      </c>
      <c r="AR19" s="262" t="s">
        <v>457</v>
      </c>
      <c r="AS19" s="262"/>
      <c r="AT19" s="262"/>
      <c r="AU19" s="262">
        <v>3</v>
      </c>
      <c r="AV19" s="262"/>
      <c r="AW19" s="262"/>
      <c r="AX19" s="262"/>
      <c r="AY19" s="262"/>
      <c r="AZ19" s="262" t="s">
        <v>457</v>
      </c>
      <c r="BA19" s="260"/>
      <c r="BB19" s="262">
        <v>0</v>
      </c>
      <c r="BC19" s="262">
        <v>0</v>
      </c>
      <c r="BD19" s="262">
        <v>0</v>
      </c>
      <c r="BE19" s="262">
        <v>0</v>
      </c>
      <c r="BF19" s="262">
        <v>0</v>
      </c>
      <c r="BG19" s="262">
        <v>0</v>
      </c>
      <c r="BH19" s="262">
        <v>0</v>
      </c>
      <c r="BI19" s="262">
        <v>0</v>
      </c>
      <c r="BJ19" s="262">
        <v>0</v>
      </c>
      <c r="BK19" s="262">
        <v>0</v>
      </c>
      <c r="BL19" s="262"/>
      <c r="BM19" s="262"/>
      <c r="BN19" s="262">
        <v>12</v>
      </c>
      <c r="BO19" s="262" t="s">
        <v>457</v>
      </c>
      <c r="BP19" s="371"/>
      <c r="BQ19" s="262"/>
      <c r="BR19" s="262"/>
      <c r="BS19" s="260"/>
      <c r="BT19" s="260"/>
      <c r="BU19" s="262"/>
      <c r="BV19" s="262" t="s">
        <v>457</v>
      </c>
      <c r="BW19" s="262"/>
      <c r="BX19" s="260"/>
      <c r="BY19" s="260" t="s">
        <v>981</v>
      </c>
    </row>
    <row r="20" spans="1:77" x14ac:dyDescent="0.15">
      <c r="A20" s="260">
        <v>1914</v>
      </c>
      <c r="B20" s="390">
        <v>43750</v>
      </c>
      <c r="C20" s="261" t="s">
        <v>755</v>
      </c>
      <c r="D20" s="260" t="s">
        <v>454</v>
      </c>
      <c r="E20" s="260">
        <v>1</v>
      </c>
      <c r="F20" s="260" t="s">
        <v>808</v>
      </c>
      <c r="G20" s="270">
        <v>43742</v>
      </c>
      <c r="H20" s="262" t="s">
        <v>757</v>
      </c>
      <c r="I20" s="262" t="s">
        <v>758</v>
      </c>
      <c r="J20" s="262">
        <v>1</v>
      </c>
      <c r="K20" s="260" t="s">
        <v>759</v>
      </c>
      <c r="L20" s="260" t="s">
        <v>760</v>
      </c>
      <c r="M20" s="369">
        <v>111.70909090909089</v>
      </c>
      <c r="N20" s="369">
        <v>45.763636363636365</v>
      </c>
      <c r="O20" s="260"/>
      <c r="P20" s="263"/>
      <c r="Q20" s="264"/>
      <c r="R20" s="263"/>
      <c r="S20" s="264"/>
      <c r="T20" s="263"/>
      <c r="U20" s="260"/>
      <c r="V20" s="264"/>
      <c r="W20" s="264"/>
      <c r="X20" s="260"/>
      <c r="Y20" s="260"/>
      <c r="Z20" s="260"/>
      <c r="AA20" s="260"/>
      <c r="AB20" s="263"/>
      <c r="AC20" s="260"/>
      <c r="AD20" s="260"/>
      <c r="AE20" s="264"/>
      <c r="AF20" s="369">
        <v>19.59090909090909</v>
      </c>
      <c r="AG20" s="263"/>
      <c r="AH20" s="260"/>
      <c r="AI20" s="264"/>
      <c r="AJ20" s="260"/>
      <c r="AK20" s="260"/>
      <c r="AL20" s="260"/>
      <c r="AM20" s="260"/>
      <c r="AN20" s="264"/>
      <c r="AO20" s="265"/>
      <c r="AP20" s="264"/>
      <c r="AQ20" s="260" t="s">
        <v>809</v>
      </c>
      <c r="AR20" s="262" t="s">
        <v>174</v>
      </c>
      <c r="AS20" s="262"/>
      <c r="AT20" s="262"/>
      <c r="AU20" s="262">
        <v>6</v>
      </c>
      <c r="AV20" s="262"/>
      <c r="AW20" s="262"/>
      <c r="AX20" s="262"/>
      <c r="AY20" s="262"/>
      <c r="AZ20" s="262" t="s">
        <v>762</v>
      </c>
      <c r="BA20" s="260"/>
      <c r="BB20" s="262">
        <v>0</v>
      </c>
      <c r="BC20" s="262">
        <v>0</v>
      </c>
      <c r="BD20" s="262">
        <v>0</v>
      </c>
      <c r="BE20" s="262">
        <v>0</v>
      </c>
      <c r="BF20" s="262">
        <v>0</v>
      </c>
      <c r="BG20" s="262">
        <v>0</v>
      </c>
      <c r="BH20" s="262">
        <v>0</v>
      </c>
      <c r="BI20" s="262">
        <v>0</v>
      </c>
      <c r="BJ20" s="262">
        <v>0</v>
      </c>
      <c r="BK20" s="262">
        <v>0</v>
      </c>
      <c r="BL20" s="262"/>
      <c r="BM20" s="262"/>
      <c r="BN20" s="262">
        <v>12</v>
      </c>
      <c r="BO20" s="262" t="s">
        <v>758</v>
      </c>
      <c r="BP20" s="371"/>
      <c r="BQ20" s="262"/>
      <c r="BR20" s="262"/>
      <c r="BS20" s="260"/>
      <c r="BT20" s="260"/>
      <c r="BU20" s="262"/>
      <c r="BV20" s="262" t="s">
        <v>758</v>
      </c>
      <c r="BW20" s="262"/>
      <c r="BX20" s="260" t="s">
        <v>763</v>
      </c>
      <c r="BY20" s="266" t="s">
        <v>983</v>
      </c>
    </row>
    <row r="21" spans="1:77" x14ac:dyDescent="0.15">
      <c r="A21" s="260">
        <v>167</v>
      </c>
      <c r="B21" s="390">
        <v>43750</v>
      </c>
      <c r="C21" s="261" t="s">
        <v>755</v>
      </c>
      <c r="D21" s="260" t="s">
        <v>454</v>
      </c>
      <c r="E21" s="260">
        <v>1</v>
      </c>
      <c r="F21" s="260" t="s">
        <v>808</v>
      </c>
      <c r="G21" s="267">
        <v>43646</v>
      </c>
      <c r="H21" s="262" t="s">
        <v>175</v>
      </c>
      <c r="I21" s="262" t="s">
        <v>174</v>
      </c>
      <c r="J21" s="262">
        <v>2</v>
      </c>
      <c r="K21" s="260" t="s">
        <v>765</v>
      </c>
      <c r="L21" s="260" t="s">
        <v>766</v>
      </c>
      <c r="M21" s="369">
        <v>113.77272727272727</v>
      </c>
      <c r="N21" s="369">
        <v>48.872727272727268</v>
      </c>
      <c r="O21" s="260"/>
      <c r="P21" s="263"/>
      <c r="Q21" s="264"/>
      <c r="R21" s="263"/>
      <c r="S21" s="264"/>
      <c r="T21" s="263"/>
      <c r="U21" s="260"/>
      <c r="V21" s="264"/>
      <c r="W21" s="264"/>
      <c r="X21" s="260"/>
      <c r="Y21" s="260"/>
      <c r="Z21" s="260"/>
      <c r="AA21" s="260"/>
      <c r="AB21" s="260"/>
      <c r="AC21" s="260"/>
      <c r="AD21" s="260"/>
      <c r="AE21" s="264"/>
      <c r="AF21" s="369">
        <v>20.781818181818181</v>
      </c>
      <c r="AG21" s="263"/>
      <c r="AH21" s="260"/>
      <c r="AI21" s="264"/>
      <c r="AJ21" s="260"/>
      <c r="AK21" s="260"/>
      <c r="AL21" s="260"/>
      <c r="AM21" s="260"/>
      <c r="AN21" s="264"/>
      <c r="AO21" s="265"/>
      <c r="AP21" s="264"/>
      <c r="AQ21" s="260" t="s">
        <v>809</v>
      </c>
      <c r="AR21" s="262" t="s">
        <v>758</v>
      </c>
      <c r="AS21" s="262"/>
      <c r="AT21" s="262"/>
      <c r="AU21" s="262">
        <v>8</v>
      </c>
      <c r="AV21" s="262"/>
      <c r="AW21" s="262"/>
      <c r="AX21" s="262"/>
      <c r="AY21" s="262"/>
      <c r="AZ21" s="262" t="s">
        <v>758</v>
      </c>
      <c r="BA21" s="260"/>
      <c r="BB21" s="262">
        <v>0</v>
      </c>
      <c r="BC21" s="262">
        <v>0</v>
      </c>
      <c r="BD21" s="262">
        <v>0</v>
      </c>
      <c r="BE21" s="262">
        <v>0</v>
      </c>
      <c r="BF21" s="262">
        <v>0</v>
      </c>
      <c r="BG21" s="262">
        <v>0</v>
      </c>
      <c r="BH21" s="262">
        <v>0</v>
      </c>
      <c r="BI21" s="262">
        <v>0</v>
      </c>
      <c r="BJ21" s="262">
        <v>0</v>
      </c>
      <c r="BK21" s="262">
        <v>0</v>
      </c>
      <c r="BL21" s="262"/>
      <c r="BM21" s="262"/>
      <c r="BN21" s="262"/>
      <c r="BO21" s="262" t="s">
        <v>758</v>
      </c>
      <c r="BP21" s="371"/>
      <c r="BQ21" s="262"/>
      <c r="BR21" s="262"/>
      <c r="BS21" s="260"/>
      <c r="BT21" s="260"/>
      <c r="BU21" s="262"/>
      <c r="BV21" s="262" t="s">
        <v>758</v>
      </c>
      <c r="BW21" s="262">
        <v>1</v>
      </c>
      <c r="BX21" s="260"/>
      <c r="BY21" s="260" t="s">
        <v>934</v>
      </c>
    </row>
    <row r="22" spans="1:77" x14ac:dyDescent="0.15">
      <c r="A22" s="260">
        <v>431</v>
      </c>
      <c r="B22" s="390">
        <v>43750</v>
      </c>
      <c r="C22" s="261" t="s">
        <v>315</v>
      </c>
      <c r="D22" s="260" t="s">
        <v>454</v>
      </c>
      <c r="E22" s="260">
        <v>1</v>
      </c>
      <c r="F22" s="260" t="s">
        <v>808</v>
      </c>
      <c r="G22" s="267">
        <v>43646</v>
      </c>
      <c r="H22" s="262" t="s">
        <v>334</v>
      </c>
      <c r="I22" s="262" t="s">
        <v>318</v>
      </c>
      <c r="J22" s="262">
        <v>3</v>
      </c>
      <c r="K22" s="260" t="s">
        <v>341</v>
      </c>
      <c r="L22" s="260" t="s">
        <v>858</v>
      </c>
      <c r="M22" s="369">
        <v>94.5</v>
      </c>
      <c r="N22" s="369">
        <v>48.5</v>
      </c>
      <c r="O22" s="260" t="s">
        <v>518</v>
      </c>
      <c r="P22" s="260">
        <v>1000</v>
      </c>
      <c r="Q22" s="369">
        <v>50.454545454545453</v>
      </c>
      <c r="R22" s="263"/>
      <c r="S22" s="264"/>
      <c r="T22" s="260"/>
      <c r="U22" s="260"/>
      <c r="V22" s="264"/>
      <c r="W22" s="264"/>
      <c r="X22" s="260"/>
      <c r="Y22" s="260"/>
      <c r="Z22" s="260"/>
      <c r="AA22" s="260"/>
      <c r="AB22" s="260"/>
      <c r="AC22" s="260"/>
      <c r="AD22" s="260"/>
      <c r="AE22" s="264"/>
      <c r="AF22" s="369">
        <v>20.599999999999998</v>
      </c>
      <c r="AG22" s="263"/>
      <c r="AH22" s="260"/>
      <c r="AI22" s="264"/>
      <c r="AJ22" s="260"/>
      <c r="AK22" s="260"/>
      <c r="AL22" s="260"/>
      <c r="AM22" s="260"/>
      <c r="AN22" s="264"/>
      <c r="AO22" s="265"/>
      <c r="AP22" s="264"/>
      <c r="AQ22" s="370" t="s">
        <v>396</v>
      </c>
      <c r="AR22" s="262" t="s">
        <v>318</v>
      </c>
      <c r="AS22" s="262"/>
      <c r="AT22" s="262"/>
      <c r="AU22" s="262">
        <v>5.2</v>
      </c>
      <c r="AV22" s="262"/>
      <c r="AW22" s="262"/>
      <c r="AX22" s="262"/>
      <c r="AY22" s="262"/>
      <c r="AZ22" s="262" t="s">
        <v>323</v>
      </c>
      <c r="BA22" s="260"/>
      <c r="BB22" s="262">
        <v>0</v>
      </c>
      <c r="BC22" s="262">
        <v>0</v>
      </c>
      <c r="BD22" s="262">
        <v>2</v>
      </c>
      <c r="BE22" s="262">
        <v>0</v>
      </c>
      <c r="BF22" s="262">
        <v>0</v>
      </c>
      <c r="BG22" s="262">
        <v>0</v>
      </c>
      <c r="BH22" s="262">
        <v>0</v>
      </c>
      <c r="BI22" s="262">
        <v>0</v>
      </c>
      <c r="BJ22" s="262">
        <v>0</v>
      </c>
      <c r="BK22" s="262">
        <v>0</v>
      </c>
      <c r="BL22" s="262"/>
      <c r="BM22" s="262"/>
      <c r="BN22" s="262"/>
      <c r="BO22" s="262" t="s">
        <v>318</v>
      </c>
      <c r="BP22" s="371"/>
      <c r="BQ22" s="262"/>
      <c r="BR22" s="262"/>
      <c r="BS22" s="260"/>
      <c r="BT22" s="260"/>
      <c r="BU22" s="262"/>
      <c r="BV22" s="262" t="s">
        <v>318</v>
      </c>
      <c r="BW22" s="262"/>
      <c r="BX22" s="260"/>
      <c r="BY22" s="260" t="s">
        <v>937</v>
      </c>
    </row>
    <row r="23" spans="1:77" x14ac:dyDescent="0.15">
      <c r="A23" s="260">
        <v>752</v>
      </c>
      <c r="B23" s="390">
        <v>43750</v>
      </c>
      <c r="C23" s="261" t="s">
        <v>453</v>
      </c>
      <c r="D23" s="260" t="s">
        <v>454</v>
      </c>
      <c r="E23" s="260">
        <v>1</v>
      </c>
      <c r="F23" s="260" t="s">
        <v>808</v>
      </c>
      <c r="G23" s="270">
        <v>43692</v>
      </c>
      <c r="H23" s="262" t="s">
        <v>456</v>
      </c>
      <c r="I23" s="262" t="s">
        <v>457</v>
      </c>
      <c r="J23" s="262">
        <v>4</v>
      </c>
      <c r="K23" s="260" t="s">
        <v>476</v>
      </c>
      <c r="L23" s="260" t="s">
        <v>859</v>
      </c>
      <c r="M23" s="369">
        <v>116.09999999999998</v>
      </c>
      <c r="N23" s="369">
        <v>48.790909090909089</v>
      </c>
      <c r="O23" s="260"/>
      <c r="P23" s="263"/>
      <c r="Q23" s="264"/>
      <c r="R23" s="263"/>
      <c r="S23" s="264"/>
      <c r="T23" s="263"/>
      <c r="U23" s="260"/>
      <c r="V23" s="264"/>
      <c r="W23" s="264"/>
      <c r="X23" s="263"/>
      <c r="Y23" s="260"/>
      <c r="Z23" s="263"/>
      <c r="AA23" s="260"/>
      <c r="AB23" s="263"/>
      <c r="AC23" s="260"/>
      <c r="AD23" s="260"/>
      <c r="AE23" s="264"/>
      <c r="AF23" s="369">
        <v>20.799999999999997</v>
      </c>
      <c r="AG23" s="263"/>
      <c r="AH23" s="260"/>
      <c r="AI23" s="264"/>
      <c r="AJ23" s="260"/>
      <c r="AK23" s="260"/>
      <c r="AL23" s="260"/>
      <c r="AM23" s="260"/>
      <c r="AN23" s="264"/>
      <c r="AO23" s="265"/>
      <c r="AP23" s="264"/>
      <c r="AQ23" s="370" t="s">
        <v>506</v>
      </c>
      <c r="AR23" s="262" t="s">
        <v>457</v>
      </c>
      <c r="AS23" s="262"/>
      <c r="AT23" s="262"/>
      <c r="AU23" s="262">
        <v>9.35</v>
      </c>
      <c r="AV23" s="262"/>
      <c r="AW23" s="262"/>
      <c r="AX23" s="262"/>
      <c r="AY23" s="262"/>
      <c r="AZ23" s="262" t="s">
        <v>462</v>
      </c>
      <c r="BA23" s="260"/>
      <c r="BB23" s="262">
        <v>7</v>
      </c>
      <c r="BC23" s="262">
        <v>0</v>
      </c>
      <c r="BD23" s="262">
        <v>0</v>
      </c>
      <c r="BE23" s="262">
        <v>0</v>
      </c>
      <c r="BF23" s="262">
        <v>0</v>
      </c>
      <c r="BG23" s="262">
        <v>0</v>
      </c>
      <c r="BH23" s="262">
        <v>0</v>
      </c>
      <c r="BI23" s="262">
        <v>0</v>
      </c>
      <c r="BJ23" s="262">
        <v>0</v>
      </c>
      <c r="BK23" s="262">
        <v>0</v>
      </c>
      <c r="BL23" s="262"/>
      <c r="BM23" s="262"/>
      <c r="BN23" s="262">
        <v>24</v>
      </c>
      <c r="BO23" s="262" t="s">
        <v>457</v>
      </c>
      <c r="BP23" s="371"/>
      <c r="BQ23" s="262"/>
      <c r="BR23" s="262"/>
      <c r="BS23" s="260"/>
      <c r="BT23" s="260"/>
      <c r="BU23" s="262"/>
      <c r="BV23" s="262" t="s">
        <v>457</v>
      </c>
      <c r="BW23" s="262">
        <v>1</v>
      </c>
      <c r="BX23" s="260"/>
      <c r="BY23" s="260" t="s">
        <v>940</v>
      </c>
    </row>
    <row r="24" spans="1:77" x14ac:dyDescent="0.15">
      <c r="A24" s="260">
        <v>976</v>
      </c>
      <c r="B24" s="390">
        <v>43750</v>
      </c>
      <c r="C24" s="261" t="s">
        <v>861</v>
      </c>
      <c r="D24" s="260" t="s">
        <v>454</v>
      </c>
      <c r="E24" s="260">
        <v>1</v>
      </c>
      <c r="F24" s="260" t="s">
        <v>808</v>
      </c>
      <c r="G24" s="270">
        <v>43670</v>
      </c>
      <c r="H24" s="262" t="s">
        <v>863</v>
      </c>
      <c r="I24" s="262" t="s">
        <v>864</v>
      </c>
      <c r="J24" s="262">
        <v>5</v>
      </c>
      <c r="K24" s="260" t="s">
        <v>302</v>
      </c>
      <c r="L24" s="260" t="s">
        <v>521</v>
      </c>
      <c r="M24" s="369">
        <v>130</v>
      </c>
      <c r="N24" s="369">
        <v>43.999999999999993</v>
      </c>
      <c r="O24" s="260"/>
      <c r="P24" s="263"/>
      <c r="Q24" s="264"/>
      <c r="R24" s="263"/>
      <c r="S24" s="264"/>
      <c r="T24" s="263"/>
      <c r="U24" s="260"/>
      <c r="V24" s="264"/>
      <c r="W24" s="264"/>
      <c r="X24" s="263"/>
      <c r="Y24" s="260"/>
      <c r="Z24" s="263"/>
      <c r="AA24" s="260"/>
      <c r="AB24" s="263"/>
      <c r="AC24" s="260"/>
      <c r="AD24" s="260"/>
      <c r="AE24" s="264"/>
      <c r="AF24" s="369">
        <v>18.981818181818181</v>
      </c>
      <c r="AG24" s="263"/>
      <c r="AH24" s="260"/>
      <c r="AI24" s="264"/>
      <c r="AJ24" s="260"/>
      <c r="AK24" s="260"/>
      <c r="AL24" s="260"/>
      <c r="AM24" s="260"/>
      <c r="AN24" s="264"/>
      <c r="AO24" s="265"/>
      <c r="AP24" s="264"/>
      <c r="AQ24" s="260" t="s">
        <v>889</v>
      </c>
      <c r="AR24" s="262" t="s">
        <v>864</v>
      </c>
      <c r="AS24" s="262"/>
      <c r="AT24" s="262"/>
      <c r="AU24" s="262">
        <v>5.5</v>
      </c>
      <c r="AV24" s="262"/>
      <c r="AW24" s="262"/>
      <c r="AX24" s="262"/>
      <c r="AY24" s="262"/>
      <c r="AZ24" s="262" t="s">
        <v>361</v>
      </c>
      <c r="BA24" s="260"/>
      <c r="BB24" s="262">
        <v>0</v>
      </c>
      <c r="BC24" s="262">
        <v>0</v>
      </c>
      <c r="BD24" s="262">
        <v>0</v>
      </c>
      <c r="BE24" s="262">
        <v>0</v>
      </c>
      <c r="BF24" s="262">
        <v>0</v>
      </c>
      <c r="BG24" s="262">
        <v>0</v>
      </c>
      <c r="BH24" s="262">
        <v>0</v>
      </c>
      <c r="BI24" s="262">
        <v>0</v>
      </c>
      <c r="BJ24" s="262">
        <v>0</v>
      </c>
      <c r="BK24" s="262">
        <v>0</v>
      </c>
      <c r="BL24" s="262"/>
      <c r="BM24" s="262"/>
      <c r="BN24" s="262"/>
      <c r="BO24" s="262" t="s">
        <v>864</v>
      </c>
      <c r="BP24" s="371"/>
      <c r="BQ24" s="262"/>
      <c r="BR24" s="262"/>
      <c r="BS24" s="260"/>
      <c r="BT24" s="260"/>
      <c r="BU24" s="262"/>
      <c r="BV24" s="262" t="s">
        <v>864</v>
      </c>
      <c r="BW24" s="262"/>
      <c r="BX24" s="260"/>
      <c r="BY24" s="370" t="s">
        <v>943</v>
      </c>
    </row>
    <row r="25" spans="1:77" x14ac:dyDescent="0.15">
      <c r="A25" s="260">
        <v>1379</v>
      </c>
      <c r="B25" s="390">
        <v>43750</v>
      </c>
      <c r="C25" s="261" t="s">
        <v>755</v>
      </c>
      <c r="D25" s="260" t="s">
        <v>454</v>
      </c>
      <c r="E25" s="260">
        <v>1</v>
      </c>
      <c r="F25" s="260" t="s">
        <v>808</v>
      </c>
      <c r="G25" s="270">
        <v>43652</v>
      </c>
      <c r="H25" s="262" t="s">
        <v>757</v>
      </c>
      <c r="I25" s="262" t="s">
        <v>758</v>
      </c>
      <c r="J25" s="262">
        <v>6</v>
      </c>
      <c r="K25" s="260" t="s">
        <v>773</v>
      </c>
      <c r="L25" s="260" t="s">
        <v>774</v>
      </c>
      <c r="M25" s="369">
        <v>98.381818181818176</v>
      </c>
      <c r="N25" s="369">
        <v>44.663636363636364</v>
      </c>
      <c r="O25" s="260"/>
      <c r="P25" s="260"/>
      <c r="Q25" s="264"/>
      <c r="R25" s="263"/>
      <c r="S25" s="264"/>
      <c r="T25" s="263"/>
      <c r="U25" s="260"/>
      <c r="V25" s="264"/>
      <c r="W25" s="264"/>
      <c r="X25" s="260"/>
      <c r="Y25" s="260"/>
      <c r="Z25" s="263"/>
      <c r="AA25" s="260"/>
      <c r="AB25" s="263"/>
      <c r="AC25" s="260"/>
      <c r="AD25" s="260"/>
      <c r="AE25" s="264"/>
      <c r="AF25" s="369">
        <v>18.627272727272725</v>
      </c>
      <c r="AG25" s="263"/>
      <c r="AH25" s="260"/>
      <c r="AI25" s="264"/>
      <c r="AJ25" s="260"/>
      <c r="AK25" s="260"/>
      <c r="AL25" s="260"/>
      <c r="AM25" s="260"/>
      <c r="AN25" s="264"/>
      <c r="AO25" s="265"/>
      <c r="AP25" s="264"/>
      <c r="AQ25" s="260" t="s">
        <v>809</v>
      </c>
      <c r="AR25" s="262" t="s">
        <v>758</v>
      </c>
      <c r="AS25" s="262"/>
      <c r="AT25" s="262"/>
      <c r="AU25" s="262">
        <v>6</v>
      </c>
      <c r="AV25" s="262"/>
      <c r="AW25" s="262"/>
      <c r="AX25" s="262"/>
      <c r="AY25" s="262"/>
      <c r="AZ25" s="262" t="s">
        <v>762</v>
      </c>
      <c r="BA25" s="260"/>
      <c r="BB25" s="262">
        <v>0</v>
      </c>
      <c r="BC25" s="262">
        <v>0</v>
      </c>
      <c r="BD25" s="262">
        <v>0</v>
      </c>
      <c r="BE25" s="262">
        <v>0</v>
      </c>
      <c r="BF25" s="262">
        <v>0</v>
      </c>
      <c r="BG25" s="262">
        <v>0</v>
      </c>
      <c r="BH25" s="262">
        <v>0</v>
      </c>
      <c r="BI25" s="262">
        <v>0</v>
      </c>
      <c r="BJ25" s="262">
        <v>0</v>
      </c>
      <c r="BK25" s="262">
        <v>0</v>
      </c>
      <c r="BL25" s="262"/>
      <c r="BM25" s="262"/>
      <c r="BN25" s="262">
        <v>12</v>
      </c>
      <c r="BO25" s="262" t="s">
        <v>758</v>
      </c>
      <c r="BP25" s="371"/>
      <c r="BQ25" s="262"/>
      <c r="BR25" s="262"/>
      <c r="BS25" s="260"/>
      <c r="BT25" s="260"/>
      <c r="BU25" s="262"/>
      <c r="BV25" s="262" t="s">
        <v>758</v>
      </c>
      <c r="BW25" s="262"/>
      <c r="BX25" s="260"/>
      <c r="BY25" s="370" t="s">
        <v>946</v>
      </c>
    </row>
    <row r="26" spans="1:77" x14ac:dyDescent="0.15">
      <c r="A26" s="260">
        <v>1713</v>
      </c>
      <c r="B26" s="390">
        <v>43750</v>
      </c>
      <c r="C26" s="261" t="s">
        <v>861</v>
      </c>
      <c r="D26" s="260" t="s">
        <v>454</v>
      </c>
      <c r="E26" s="260">
        <v>1</v>
      </c>
      <c r="F26" s="260" t="s">
        <v>808</v>
      </c>
      <c r="G26" s="270">
        <v>43670</v>
      </c>
      <c r="H26" s="262" t="s">
        <v>863</v>
      </c>
      <c r="I26" s="262" t="s">
        <v>864</v>
      </c>
      <c r="J26" s="262">
        <v>7</v>
      </c>
      <c r="K26" s="260" t="s">
        <v>868</v>
      </c>
      <c r="L26" s="260" t="s">
        <v>525</v>
      </c>
      <c r="M26" s="369">
        <v>130</v>
      </c>
      <c r="N26" s="369">
        <v>43.999999999999993</v>
      </c>
      <c r="O26" s="260"/>
      <c r="P26" s="263"/>
      <c r="Q26" s="264"/>
      <c r="R26" s="263"/>
      <c r="S26" s="264"/>
      <c r="T26" s="260"/>
      <c r="U26" s="260"/>
      <c r="V26" s="264"/>
      <c r="W26" s="264"/>
      <c r="X26" s="260"/>
      <c r="Y26" s="260"/>
      <c r="Z26" s="260"/>
      <c r="AA26" s="260"/>
      <c r="AB26" s="260"/>
      <c r="AC26" s="260"/>
      <c r="AD26" s="260"/>
      <c r="AE26" s="264"/>
      <c r="AF26" s="369">
        <v>18.981818181818181</v>
      </c>
      <c r="AG26" s="263"/>
      <c r="AH26" s="260"/>
      <c r="AI26" s="264"/>
      <c r="AJ26" s="260"/>
      <c r="AK26" s="260"/>
      <c r="AL26" s="260"/>
      <c r="AM26" s="260"/>
      <c r="AN26" s="264"/>
      <c r="AO26" s="265"/>
      <c r="AP26" s="264"/>
      <c r="AQ26" s="260" t="s">
        <v>889</v>
      </c>
      <c r="AR26" s="262" t="s">
        <v>864</v>
      </c>
      <c r="AS26" s="262"/>
      <c r="AT26" s="262"/>
      <c r="AU26" s="262">
        <v>5.5</v>
      </c>
      <c r="AV26" s="262"/>
      <c r="AW26" s="262"/>
      <c r="AX26" s="262"/>
      <c r="AY26" s="262"/>
      <c r="AZ26" s="262" t="s">
        <v>869</v>
      </c>
      <c r="BA26" s="260"/>
      <c r="BB26" s="262">
        <v>0</v>
      </c>
      <c r="BC26" s="262">
        <v>0</v>
      </c>
      <c r="BD26" s="262">
        <v>0</v>
      </c>
      <c r="BE26" s="262">
        <v>0</v>
      </c>
      <c r="BF26" s="262">
        <v>0</v>
      </c>
      <c r="BG26" s="262">
        <v>0</v>
      </c>
      <c r="BH26" s="262">
        <v>0</v>
      </c>
      <c r="BI26" s="262">
        <v>0</v>
      </c>
      <c r="BJ26" s="262">
        <v>0</v>
      </c>
      <c r="BK26" s="262">
        <v>0</v>
      </c>
      <c r="BL26" s="262"/>
      <c r="BM26" s="262"/>
      <c r="BN26" s="262"/>
      <c r="BO26" s="262" t="s">
        <v>864</v>
      </c>
      <c r="BP26" s="371"/>
      <c r="BQ26" s="262"/>
      <c r="BR26" s="373"/>
      <c r="BS26" s="260"/>
      <c r="BT26" s="260"/>
      <c r="BU26" s="262"/>
      <c r="BV26" s="262" t="s">
        <v>864</v>
      </c>
      <c r="BW26" s="262"/>
      <c r="BX26" s="260"/>
      <c r="BY26" s="260" t="s">
        <v>949</v>
      </c>
    </row>
    <row r="27" spans="1:77" x14ac:dyDescent="0.15">
      <c r="A27" s="260">
        <v>1136</v>
      </c>
      <c r="B27" s="390">
        <v>43750</v>
      </c>
      <c r="C27" s="261" t="s">
        <v>861</v>
      </c>
      <c r="D27" s="260" t="s">
        <v>454</v>
      </c>
      <c r="E27" s="260">
        <v>1</v>
      </c>
      <c r="F27" s="260" t="s">
        <v>808</v>
      </c>
      <c r="G27" s="270">
        <v>43646</v>
      </c>
      <c r="H27" s="262" t="s">
        <v>863</v>
      </c>
      <c r="I27" s="262" t="s">
        <v>864</v>
      </c>
      <c r="J27" s="262">
        <v>8</v>
      </c>
      <c r="K27" s="260" t="s">
        <v>254</v>
      </c>
      <c r="L27" s="260" t="s">
        <v>327</v>
      </c>
      <c r="M27" s="369">
        <v>110.69999999999999</v>
      </c>
      <c r="N27" s="369">
        <v>48.981818181818177</v>
      </c>
      <c r="O27" s="260" t="s">
        <v>518</v>
      </c>
      <c r="P27" s="263">
        <v>3822</v>
      </c>
      <c r="Q27" s="369">
        <v>51.427272727272722</v>
      </c>
      <c r="R27" s="263"/>
      <c r="S27" s="264"/>
      <c r="T27" s="260"/>
      <c r="U27" s="263"/>
      <c r="V27" s="264"/>
      <c r="W27" s="264"/>
      <c r="X27" s="260"/>
      <c r="Y27" s="260"/>
      <c r="Z27" s="260"/>
      <c r="AA27" s="260"/>
      <c r="AB27" s="260"/>
      <c r="AC27" s="260"/>
      <c r="AD27" s="260"/>
      <c r="AE27" s="264"/>
      <c r="AF27" s="369">
        <v>20.718181818181815</v>
      </c>
      <c r="AG27" s="263"/>
      <c r="AH27" s="260"/>
      <c r="AI27" s="264"/>
      <c r="AJ27" s="260"/>
      <c r="AK27" s="260"/>
      <c r="AL27" s="260"/>
      <c r="AM27" s="260"/>
      <c r="AN27" s="264"/>
      <c r="AO27" s="265"/>
      <c r="AP27" s="264"/>
      <c r="AQ27" s="370" t="s">
        <v>889</v>
      </c>
      <c r="AR27" s="262" t="s">
        <v>864</v>
      </c>
      <c r="AS27" s="262"/>
      <c r="AT27" s="262"/>
      <c r="AU27" s="262">
        <v>5.5</v>
      </c>
      <c r="AV27" s="262"/>
      <c r="AW27" s="262"/>
      <c r="AX27" s="262"/>
      <c r="AY27" s="262"/>
      <c r="AZ27" s="262" t="s">
        <v>153</v>
      </c>
      <c r="BA27" s="260"/>
      <c r="BB27" s="262">
        <v>0</v>
      </c>
      <c r="BC27" s="262">
        <v>0</v>
      </c>
      <c r="BD27" s="262">
        <v>0</v>
      </c>
      <c r="BE27" s="262">
        <v>0</v>
      </c>
      <c r="BF27" s="262">
        <v>0</v>
      </c>
      <c r="BG27" s="262">
        <v>0</v>
      </c>
      <c r="BH27" s="262">
        <v>0</v>
      </c>
      <c r="BI27" s="262">
        <v>0</v>
      </c>
      <c r="BJ27" s="262">
        <v>0</v>
      </c>
      <c r="BK27" s="262">
        <v>0</v>
      </c>
      <c r="BL27" s="262"/>
      <c r="BM27" s="262"/>
      <c r="BN27" s="262"/>
      <c r="BO27" s="262" t="s">
        <v>864</v>
      </c>
      <c r="BP27" s="371"/>
      <c r="BQ27" s="262"/>
      <c r="BR27" s="373"/>
      <c r="BS27" s="260"/>
      <c r="BT27" s="260"/>
      <c r="BU27" s="262"/>
      <c r="BV27" s="262" t="s">
        <v>864</v>
      </c>
      <c r="BW27" s="262"/>
      <c r="BX27" s="260"/>
      <c r="BY27" s="308" t="s">
        <v>952</v>
      </c>
    </row>
    <row r="28" spans="1:77" x14ac:dyDescent="0.15">
      <c r="A28" s="260">
        <v>1500</v>
      </c>
      <c r="B28" s="390">
        <v>43750</v>
      </c>
      <c r="C28" s="261" t="s">
        <v>755</v>
      </c>
      <c r="D28" s="260" t="s">
        <v>454</v>
      </c>
      <c r="E28" s="260">
        <v>1</v>
      </c>
      <c r="F28" s="260" t="s">
        <v>808</v>
      </c>
      <c r="G28" s="270">
        <v>43677</v>
      </c>
      <c r="H28" s="262" t="s">
        <v>757</v>
      </c>
      <c r="I28" s="262" t="s">
        <v>758</v>
      </c>
      <c r="J28" s="262">
        <v>9</v>
      </c>
      <c r="K28" s="260" t="s">
        <v>495</v>
      </c>
      <c r="L28" s="260" t="s">
        <v>781</v>
      </c>
      <c r="M28" s="369">
        <v>155.99999999999997</v>
      </c>
      <c r="N28" s="369">
        <v>47.3</v>
      </c>
      <c r="O28" s="260"/>
      <c r="P28" s="263"/>
      <c r="Q28" s="264"/>
      <c r="R28" s="263"/>
      <c r="S28" s="264"/>
      <c r="T28" s="260"/>
      <c r="U28" s="260"/>
      <c r="V28" s="264"/>
      <c r="W28" s="264"/>
      <c r="X28" s="260"/>
      <c r="Y28" s="260"/>
      <c r="Z28" s="260"/>
      <c r="AA28" s="260"/>
      <c r="AB28" s="260"/>
      <c r="AC28" s="260"/>
      <c r="AD28" s="260"/>
      <c r="AE28" s="264"/>
      <c r="AF28" s="369">
        <v>24.981818181818181</v>
      </c>
      <c r="AG28" s="263"/>
      <c r="AH28" s="260"/>
      <c r="AI28" s="264"/>
      <c r="AJ28" s="260"/>
      <c r="AK28" s="260"/>
      <c r="AL28" s="260"/>
      <c r="AM28" s="260"/>
      <c r="AN28" s="264"/>
      <c r="AO28" s="265"/>
      <c r="AP28" s="264"/>
      <c r="AQ28" s="260" t="s">
        <v>809</v>
      </c>
      <c r="AR28" s="262" t="s">
        <v>758</v>
      </c>
      <c r="AS28" s="262"/>
      <c r="AT28" s="262"/>
      <c r="AU28" s="262">
        <v>5</v>
      </c>
      <c r="AV28" s="262"/>
      <c r="AW28" s="262"/>
      <c r="AX28" s="262"/>
      <c r="AY28" s="262"/>
      <c r="AZ28" s="262" t="s">
        <v>762</v>
      </c>
      <c r="BA28" s="260"/>
      <c r="BB28" s="262">
        <v>0</v>
      </c>
      <c r="BC28" s="262">
        <v>0</v>
      </c>
      <c r="BD28" s="262">
        <v>0</v>
      </c>
      <c r="BE28" s="262">
        <v>0</v>
      </c>
      <c r="BF28" s="262">
        <v>0</v>
      </c>
      <c r="BG28" s="262">
        <v>0</v>
      </c>
      <c r="BH28" s="262">
        <v>0</v>
      </c>
      <c r="BI28" s="262">
        <v>0</v>
      </c>
      <c r="BJ28" s="262">
        <v>0</v>
      </c>
      <c r="BK28" s="262">
        <v>0</v>
      </c>
      <c r="BL28" s="262"/>
      <c r="BM28" s="262"/>
      <c r="BN28" s="262"/>
      <c r="BO28" s="262" t="s">
        <v>758</v>
      </c>
      <c r="BP28" s="371"/>
      <c r="BQ28" s="262"/>
      <c r="BR28" s="262"/>
      <c r="BS28" s="260"/>
      <c r="BT28" s="260"/>
      <c r="BU28" s="262"/>
      <c r="BV28" s="262" t="s">
        <v>758</v>
      </c>
      <c r="BW28" s="262">
        <v>1</v>
      </c>
      <c r="BX28" s="266"/>
      <c r="BY28" s="379" t="s">
        <v>955</v>
      </c>
    </row>
    <row r="29" spans="1:77" x14ac:dyDescent="0.15">
      <c r="A29" s="260">
        <v>590</v>
      </c>
      <c r="B29" s="390">
        <v>43750</v>
      </c>
      <c r="C29" s="261" t="s">
        <v>453</v>
      </c>
      <c r="D29" s="260" t="s">
        <v>454</v>
      </c>
      <c r="E29" s="260">
        <v>1</v>
      </c>
      <c r="F29" s="260" t="s">
        <v>808</v>
      </c>
      <c r="G29" s="270">
        <v>43727</v>
      </c>
      <c r="H29" s="262" t="s">
        <v>456</v>
      </c>
      <c r="I29" s="262" t="s">
        <v>457</v>
      </c>
      <c r="J29" s="262">
        <v>10</v>
      </c>
      <c r="K29" s="260" t="s">
        <v>875</v>
      </c>
      <c r="L29" s="260" t="s">
        <v>595</v>
      </c>
      <c r="M29" s="369">
        <v>84.545454545454533</v>
      </c>
      <c r="N29" s="369">
        <v>36.818181818181813</v>
      </c>
      <c r="O29" s="260"/>
      <c r="P29" s="263"/>
      <c r="Q29" s="264"/>
      <c r="R29" s="263"/>
      <c r="S29" s="264"/>
      <c r="T29" s="263"/>
      <c r="U29" s="260"/>
      <c r="V29" s="264"/>
      <c r="W29" s="264"/>
      <c r="X29" s="263"/>
      <c r="Y29" s="260"/>
      <c r="Z29" s="263"/>
      <c r="AA29" s="260"/>
      <c r="AB29" s="263"/>
      <c r="AC29" s="260"/>
      <c r="AD29" s="260"/>
      <c r="AE29" s="264"/>
      <c r="AF29" s="369">
        <v>27.727272727272727</v>
      </c>
      <c r="AG29" s="263"/>
      <c r="AH29" s="260"/>
      <c r="AI29" s="264"/>
      <c r="AJ29" s="260"/>
      <c r="AK29" s="260"/>
      <c r="AL29" s="260"/>
      <c r="AM29" s="260"/>
      <c r="AN29" s="264"/>
      <c r="AO29" s="265"/>
      <c r="AP29" s="264"/>
      <c r="AQ29" s="260" t="s">
        <v>506</v>
      </c>
      <c r="AR29" s="262" t="s">
        <v>457</v>
      </c>
      <c r="AS29" s="262"/>
      <c r="AT29" s="262"/>
      <c r="AU29" s="262">
        <v>6</v>
      </c>
      <c r="AV29" s="262"/>
      <c r="AW29" s="262"/>
      <c r="AX29" s="262"/>
      <c r="AY29" s="262"/>
      <c r="AZ29" s="262" t="s">
        <v>462</v>
      </c>
      <c r="BA29" s="260"/>
      <c r="BB29" s="262">
        <v>0</v>
      </c>
      <c r="BC29" s="262">
        <v>0</v>
      </c>
      <c r="BD29" s="262">
        <v>0</v>
      </c>
      <c r="BE29" s="262">
        <v>0</v>
      </c>
      <c r="BF29" s="262">
        <v>0</v>
      </c>
      <c r="BG29" s="262">
        <v>0</v>
      </c>
      <c r="BH29" s="262">
        <v>0</v>
      </c>
      <c r="BI29" s="262">
        <v>0</v>
      </c>
      <c r="BJ29" s="262">
        <v>0</v>
      </c>
      <c r="BK29" s="262">
        <v>0</v>
      </c>
      <c r="BL29" s="262"/>
      <c r="BM29" s="262"/>
      <c r="BN29" s="262"/>
      <c r="BO29" s="262" t="s">
        <v>457</v>
      </c>
      <c r="BP29" s="375">
        <v>177.21818181818179</v>
      </c>
      <c r="BQ29" s="262"/>
      <c r="BR29" s="373"/>
      <c r="BS29" s="266"/>
      <c r="BT29" s="266"/>
      <c r="BU29" s="266"/>
      <c r="BV29" s="262" t="s">
        <v>457</v>
      </c>
      <c r="BW29" s="262"/>
      <c r="BX29" s="260" t="s">
        <v>785</v>
      </c>
      <c r="BY29" s="260" t="s">
        <v>957</v>
      </c>
    </row>
    <row r="30" spans="1:77" x14ac:dyDescent="0.15">
      <c r="A30" s="260">
        <v>2033</v>
      </c>
      <c r="B30" s="390">
        <v>43750</v>
      </c>
      <c r="C30" s="261" t="s">
        <v>191</v>
      </c>
      <c r="D30" s="260" t="s">
        <v>454</v>
      </c>
      <c r="E30" s="260">
        <v>1</v>
      </c>
      <c r="F30" s="260" t="s">
        <v>808</v>
      </c>
      <c r="G30" s="270">
        <v>43677</v>
      </c>
      <c r="H30" s="262" t="s">
        <v>863</v>
      </c>
      <c r="I30" s="262" t="s">
        <v>864</v>
      </c>
      <c r="J30" s="262">
        <v>11</v>
      </c>
      <c r="K30" s="260" t="s">
        <v>691</v>
      </c>
      <c r="L30" s="260" t="s">
        <v>791</v>
      </c>
      <c r="M30" s="369">
        <v>66.563636363636363</v>
      </c>
      <c r="N30" s="369">
        <v>50.599999999999994</v>
      </c>
      <c r="O30" s="260"/>
      <c r="P30" s="263"/>
      <c r="Q30" s="264"/>
      <c r="R30" s="263"/>
      <c r="S30" s="264"/>
      <c r="T30" s="263"/>
      <c r="U30" s="260"/>
      <c r="V30" s="264"/>
      <c r="W30" s="264"/>
      <c r="X30" s="260"/>
      <c r="Y30" s="260"/>
      <c r="Z30" s="260"/>
      <c r="AA30" s="260"/>
      <c r="AB30" s="260"/>
      <c r="AC30" s="260"/>
      <c r="AD30" s="260"/>
      <c r="AE30" s="264"/>
      <c r="AF30" s="369">
        <v>20.654545454545453</v>
      </c>
      <c r="AG30" s="263"/>
      <c r="AH30" s="260"/>
      <c r="AI30" s="264"/>
      <c r="AJ30" s="260"/>
      <c r="AK30" s="260"/>
      <c r="AL30" s="260"/>
      <c r="AM30" s="260"/>
      <c r="AN30" s="264"/>
      <c r="AO30" s="265"/>
      <c r="AP30" s="264"/>
      <c r="AQ30" s="260" t="s">
        <v>162</v>
      </c>
      <c r="AR30" s="262" t="s">
        <v>153</v>
      </c>
      <c r="AS30" s="262"/>
      <c r="AT30" s="262"/>
      <c r="AU30" s="262"/>
      <c r="AV30" s="262"/>
      <c r="AW30" s="262"/>
      <c r="AX30" s="262"/>
      <c r="AY30" s="262"/>
      <c r="AZ30" s="262" t="s">
        <v>869</v>
      </c>
      <c r="BA30" s="260"/>
      <c r="BB30" s="262">
        <v>0</v>
      </c>
      <c r="BC30" s="262">
        <v>0</v>
      </c>
      <c r="BD30" s="262">
        <v>0</v>
      </c>
      <c r="BE30" s="262">
        <v>0</v>
      </c>
      <c r="BF30" s="262">
        <v>0</v>
      </c>
      <c r="BG30" s="262">
        <v>0</v>
      </c>
      <c r="BH30" s="262">
        <v>0</v>
      </c>
      <c r="BI30" s="262">
        <v>0</v>
      </c>
      <c r="BJ30" s="262">
        <v>0</v>
      </c>
      <c r="BK30" s="262">
        <v>0</v>
      </c>
      <c r="BL30" s="262"/>
      <c r="BM30" s="262"/>
      <c r="BN30" s="262"/>
      <c r="BO30" s="262" t="s">
        <v>153</v>
      </c>
      <c r="BP30" s="371"/>
      <c r="BQ30" s="262"/>
      <c r="BR30" s="262"/>
      <c r="BS30" s="266"/>
      <c r="BT30" s="266"/>
      <c r="BU30" s="262"/>
      <c r="BV30" s="262" t="s">
        <v>153</v>
      </c>
      <c r="BW30" s="262">
        <v>1</v>
      </c>
      <c r="BX30" s="260"/>
      <c r="BY30" s="260" t="s">
        <v>960</v>
      </c>
    </row>
    <row r="31" spans="1:77" x14ac:dyDescent="0.15">
      <c r="A31" s="260">
        <v>2099</v>
      </c>
      <c r="B31" s="390">
        <v>43750</v>
      </c>
      <c r="C31" s="261" t="s">
        <v>755</v>
      </c>
      <c r="D31" s="260" t="s">
        <v>454</v>
      </c>
      <c r="E31" s="260">
        <v>1</v>
      </c>
      <c r="F31" s="260" t="s">
        <v>808</v>
      </c>
      <c r="G31" s="267">
        <v>43669</v>
      </c>
      <c r="H31" s="262" t="s">
        <v>175</v>
      </c>
      <c r="I31" s="262" t="s">
        <v>174</v>
      </c>
      <c r="J31" s="262">
        <v>12</v>
      </c>
      <c r="K31" s="260" t="s">
        <v>794</v>
      </c>
      <c r="L31" s="260" t="s">
        <v>734</v>
      </c>
      <c r="M31" s="369">
        <v>97.999999999999986</v>
      </c>
      <c r="N31" s="369">
        <v>44.563636363636363</v>
      </c>
      <c r="O31" s="260"/>
      <c r="P31" s="263"/>
      <c r="Q31" s="264"/>
      <c r="R31" s="263"/>
      <c r="S31" s="264"/>
      <c r="T31" s="263"/>
      <c r="U31" s="260"/>
      <c r="V31" s="264"/>
      <c r="W31" s="264"/>
      <c r="X31" s="260"/>
      <c r="Y31" s="260"/>
      <c r="Z31" s="260"/>
      <c r="AA31" s="260"/>
      <c r="AB31" s="260"/>
      <c r="AC31" s="260"/>
      <c r="AD31" s="260"/>
      <c r="AE31" s="264"/>
      <c r="AF31" s="369">
        <v>24.627272727272725</v>
      </c>
      <c r="AG31" s="263"/>
      <c r="AH31" s="260"/>
      <c r="AI31" s="264"/>
      <c r="AJ31" s="260"/>
      <c r="AK31" s="260"/>
      <c r="AL31" s="260"/>
      <c r="AM31" s="260"/>
      <c r="AN31" s="264"/>
      <c r="AO31" s="265"/>
      <c r="AP31" s="264"/>
      <c r="AQ31" s="370" t="s">
        <v>809</v>
      </c>
      <c r="AR31" s="262" t="s">
        <v>758</v>
      </c>
      <c r="AS31" s="262"/>
      <c r="AT31" s="262"/>
      <c r="AU31" s="262">
        <v>5.5</v>
      </c>
      <c r="AV31" s="262"/>
      <c r="AW31" s="262"/>
      <c r="AX31" s="262"/>
      <c r="AY31" s="262"/>
      <c r="AZ31" s="262" t="s">
        <v>361</v>
      </c>
      <c r="BA31" s="260"/>
      <c r="BB31" s="262">
        <v>0</v>
      </c>
      <c r="BC31" s="262">
        <v>0</v>
      </c>
      <c r="BD31" s="262">
        <v>0</v>
      </c>
      <c r="BE31" s="262">
        <v>0</v>
      </c>
      <c r="BF31" s="262">
        <v>0</v>
      </c>
      <c r="BG31" s="262">
        <v>0</v>
      </c>
      <c r="BH31" s="262">
        <v>0</v>
      </c>
      <c r="BI31" s="262">
        <v>0</v>
      </c>
      <c r="BJ31" s="262">
        <v>0</v>
      </c>
      <c r="BK31" s="262">
        <v>0</v>
      </c>
      <c r="BL31" s="262"/>
      <c r="BM31" s="262"/>
      <c r="BN31" s="262"/>
      <c r="BO31" s="262" t="s">
        <v>758</v>
      </c>
      <c r="BP31" s="371"/>
      <c r="BQ31" s="262"/>
      <c r="BR31" s="262"/>
      <c r="BS31" s="266"/>
      <c r="BT31" s="266"/>
      <c r="BU31" s="262"/>
      <c r="BV31" s="262" t="s">
        <v>174</v>
      </c>
      <c r="BW31" s="262"/>
      <c r="BX31" s="266"/>
      <c r="BY31" s="260" t="s">
        <v>962</v>
      </c>
    </row>
    <row r="32" spans="1:77" x14ac:dyDescent="0.15">
      <c r="A32" s="260">
        <v>515</v>
      </c>
      <c r="B32" s="390">
        <v>43750</v>
      </c>
      <c r="C32" s="261" t="s">
        <v>191</v>
      </c>
      <c r="D32" s="260" t="s">
        <v>454</v>
      </c>
      <c r="E32" s="260">
        <v>1</v>
      </c>
      <c r="F32" s="260" t="s">
        <v>808</v>
      </c>
      <c r="G32" s="267">
        <v>43655</v>
      </c>
      <c r="H32" s="262" t="s">
        <v>150</v>
      </c>
      <c r="I32" s="262" t="s">
        <v>153</v>
      </c>
      <c r="J32" s="262">
        <v>13</v>
      </c>
      <c r="K32" s="260" t="s">
        <v>881</v>
      </c>
      <c r="L32" s="260" t="s">
        <v>916</v>
      </c>
      <c r="M32" s="369">
        <v>115.99999999999999</v>
      </c>
      <c r="N32" s="369">
        <v>48.8</v>
      </c>
      <c r="O32" s="260"/>
      <c r="P32" s="263"/>
      <c r="Q32" s="264"/>
      <c r="R32" s="263"/>
      <c r="S32" s="264"/>
      <c r="T32" s="263"/>
      <c r="U32" s="260"/>
      <c r="V32" s="264"/>
      <c r="W32" s="264"/>
      <c r="X32" s="260"/>
      <c r="Y32" s="260"/>
      <c r="Z32" s="260"/>
      <c r="AA32" s="260"/>
      <c r="AB32" s="260"/>
      <c r="AC32" s="260"/>
      <c r="AD32" s="260"/>
      <c r="AE32" s="264"/>
      <c r="AF32" s="369">
        <v>20.9</v>
      </c>
      <c r="AG32" s="263"/>
      <c r="AH32" s="260"/>
      <c r="AI32" s="264"/>
      <c r="AJ32" s="260"/>
      <c r="AK32" s="260"/>
      <c r="AL32" s="260"/>
      <c r="AM32" s="260"/>
      <c r="AN32" s="264"/>
      <c r="AO32" s="265"/>
      <c r="AP32" s="264"/>
      <c r="AQ32" s="370" t="s">
        <v>162</v>
      </c>
      <c r="AR32" s="262" t="s">
        <v>153</v>
      </c>
      <c r="AS32" s="262"/>
      <c r="AT32" s="262"/>
      <c r="AU32" s="262">
        <v>1</v>
      </c>
      <c r="AV32" s="262"/>
      <c r="AW32" s="262"/>
      <c r="AX32" s="262"/>
      <c r="AY32" s="262"/>
      <c r="AZ32" s="262" t="s">
        <v>153</v>
      </c>
      <c r="BA32" s="260"/>
      <c r="BB32" s="262">
        <v>0</v>
      </c>
      <c r="BC32" s="262">
        <v>0</v>
      </c>
      <c r="BD32" s="262">
        <v>0</v>
      </c>
      <c r="BE32" s="262">
        <v>0</v>
      </c>
      <c r="BF32" s="262">
        <v>0</v>
      </c>
      <c r="BG32" s="262">
        <v>0</v>
      </c>
      <c r="BH32" s="262">
        <v>0</v>
      </c>
      <c r="BI32" s="262">
        <v>0</v>
      </c>
      <c r="BJ32" s="262">
        <v>0</v>
      </c>
      <c r="BK32" s="262">
        <v>0</v>
      </c>
      <c r="BL32" s="262"/>
      <c r="BM32" s="262"/>
      <c r="BN32" s="262"/>
      <c r="BO32" s="262" t="s">
        <v>153</v>
      </c>
      <c r="BP32" s="371"/>
      <c r="BQ32" s="262"/>
      <c r="BR32" s="262"/>
      <c r="BS32" s="266"/>
      <c r="BT32" s="266"/>
      <c r="BU32" s="262"/>
      <c r="BV32" s="262" t="s">
        <v>153</v>
      </c>
      <c r="BW32" s="262">
        <v>1</v>
      </c>
      <c r="BX32" s="260"/>
      <c r="BY32" s="260" t="s">
        <v>965</v>
      </c>
    </row>
    <row r="33" spans="1:77" x14ac:dyDescent="0.15">
      <c r="A33" s="260">
        <v>281</v>
      </c>
      <c r="B33" s="390">
        <v>43750</v>
      </c>
      <c r="C33" s="261" t="s">
        <v>755</v>
      </c>
      <c r="D33" s="260" t="s">
        <v>454</v>
      </c>
      <c r="E33" s="260">
        <v>1</v>
      </c>
      <c r="F33" s="260" t="s">
        <v>808</v>
      </c>
      <c r="G33" s="267">
        <v>43665</v>
      </c>
      <c r="H33" s="262" t="s">
        <v>175</v>
      </c>
      <c r="I33" s="262" t="s">
        <v>174</v>
      </c>
      <c r="J33" s="262">
        <v>15</v>
      </c>
      <c r="K33" s="260" t="s">
        <v>802</v>
      </c>
      <c r="L33" s="260" t="s">
        <v>884</v>
      </c>
      <c r="M33" s="369">
        <v>160</v>
      </c>
      <c r="N33" s="369">
        <v>41.818181818181813</v>
      </c>
      <c r="O33" s="260"/>
      <c r="P33" s="263"/>
      <c r="Q33" s="264"/>
      <c r="R33" s="263"/>
      <c r="S33" s="264"/>
      <c r="T33" s="263"/>
      <c r="U33" s="260"/>
      <c r="V33" s="264"/>
      <c r="W33" s="264"/>
      <c r="X33" s="260"/>
      <c r="Y33" s="260"/>
      <c r="Z33" s="260"/>
      <c r="AA33" s="260"/>
      <c r="AB33" s="260"/>
      <c r="AC33" s="260"/>
      <c r="AD33" s="260"/>
      <c r="AE33" s="264"/>
      <c r="AF33" s="369">
        <v>21.727272727272723</v>
      </c>
      <c r="AG33" s="263"/>
      <c r="AH33" s="260"/>
      <c r="AI33" s="264"/>
      <c r="AJ33" s="260"/>
      <c r="AK33" s="260"/>
      <c r="AL33" s="260"/>
      <c r="AM33" s="260"/>
      <c r="AN33" s="264"/>
      <c r="AO33" s="265"/>
      <c r="AP33" s="264"/>
      <c r="AQ33" s="370" t="s">
        <v>809</v>
      </c>
      <c r="AR33" s="262" t="s">
        <v>758</v>
      </c>
      <c r="AS33" s="262"/>
      <c r="AT33" s="262"/>
      <c r="AU33" s="262">
        <v>5</v>
      </c>
      <c r="AV33" s="262"/>
      <c r="AW33" s="262"/>
      <c r="AX33" s="262"/>
      <c r="AY33" s="262"/>
      <c r="AZ33" s="262" t="s">
        <v>758</v>
      </c>
      <c r="BA33" s="260"/>
      <c r="BB33" s="262">
        <v>0</v>
      </c>
      <c r="BC33" s="262">
        <v>0</v>
      </c>
      <c r="BD33" s="262">
        <v>0</v>
      </c>
      <c r="BE33" s="262">
        <v>0</v>
      </c>
      <c r="BF33" s="262">
        <v>0</v>
      </c>
      <c r="BG33" s="262">
        <v>0</v>
      </c>
      <c r="BH33" s="262">
        <v>0</v>
      </c>
      <c r="BI33" s="262">
        <v>0</v>
      </c>
      <c r="BJ33" s="262">
        <v>0</v>
      </c>
      <c r="BK33" s="262">
        <v>0</v>
      </c>
      <c r="BL33" s="262"/>
      <c r="BM33" s="262"/>
      <c r="BN33" s="262"/>
      <c r="BO33" s="262" t="s">
        <v>758</v>
      </c>
      <c r="BP33" s="371"/>
      <c r="BQ33" s="262"/>
      <c r="BR33" s="262"/>
      <c r="BS33" s="260"/>
      <c r="BT33" s="260"/>
      <c r="BU33" s="262"/>
      <c r="BV33" s="262" t="s">
        <v>758</v>
      </c>
      <c r="BW33" s="262">
        <v>1</v>
      </c>
      <c r="BX33" s="260"/>
      <c r="BY33" s="372" t="s">
        <v>968</v>
      </c>
    </row>
    <row r="34" spans="1:77" x14ac:dyDescent="0.15">
      <c r="A34" s="260">
        <v>2219</v>
      </c>
      <c r="B34" s="390">
        <v>43750</v>
      </c>
      <c r="C34" s="261" t="s">
        <v>453</v>
      </c>
      <c r="D34" s="260" t="s">
        <v>454</v>
      </c>
      <c r="E34" s="260">
        <v>1</v>
      </c>
      <c r="F34" s="260" t="s">
        <v>808</v>
      </c>
      <c r="G34" s="270">
        <v>43704</v>
      </c>
      <c r="H34" s="262" t="s">
        <v>456</v>
      </c>
      <c r="I34" s="262" t="s">
        <v>457</v>
      </c>
      <c r="J34" s="262">
        <v>16</v>
      </c>
      <c r="K34" s="260" t="s">
        <v>303</v>
      </c>
      <c r="L34" s="260" t="s">
        <v>919</v>
      </c>
      <c r="M34" s="369">
        <v>225.89999999999998</v>
      </c>
      <c r="N34" s="369">
        <v>43.699999999999996</v>
      </c>
      <c r="O34" s="260"/>
      <c r="P34" s="263"/>
      <c r="Q34" s="264"/>
      <c r="R34" s="263"/>
      <c r="S34" s="264"/>
      <c r="T34" s="263"/>
      <c r="U34" s="260"/>
      <c r="V34" s="264"/>
      <c r="W34" s="264"/>
      <c r="X34" s="263"/>
      <c r="Y34" s="260"/>
      <c r="Z34" s="263"/>
      <c r="AA34" s="260"/>
      <c r="AB34" s="263"/>
      <c r="AC34" s="260"/>
      <c r="AD34" s="260"/>
      <c r="AE34" s="264"/>
      <c r="AF34" s="369">
        <v>21.499999999999996</v>
      </c>
      <c r="AG34" s="263"/>
      <c r="AH34" s="260"/>
      <c r="AI34" s="264"/>
      <c r="AJ34" s="260"/>
      <c r="AK34" s="260"/>
      <c r="AL34" s="260"/>
      <c r="AM34" s="260"/>
      <c r="AN34" s="264"/>
      <c r="AO34" s="265"/>
      <c r="AP34" s="264"/>
      <c r="AQ34" s="260" t="s">
        <v>506</v>
      </c>
      <c r="AR34" s="262" t="s">
        <v>457</v>
      </c>
      <c r="AS34" s="262"/>
      <c r="AT34" s="262"/>
      <c r="AU34" s="262">
        <v>3.5</v>
      </c>
      <c r="AV34" s="262"/>
      <c r="AW34" s="262"/>
      <c r="AX34" s="262"/>
      <c r="AY34" s="262"/>
      <c r="AZ34" s="262" t="s">
        <v>462</v>
      </c>
      <c r="BA34" s="260"/>
      <c r="BB34" s="262">
        <v>0</v>
      </c>
      <c r="BC34" s="262">
        <v>0</v>
      </c>
      <c r="BD34" s="262">
        <v>0</v>
      </c>
      <c r="BE34" s="262">
        <v>0</v>
      </c>
      <c r="BF34" s="262">
        <v>0</v>
      </c>
      <c r="BG34" s="262">
        <v>0</v>
      </c>
      <c r="BH34" s="262">
        <v>0</v>
      </c>
      <c r="BI34" s="262">
        <v>0</v>
      </c>
      <c r="BJ34" s="262">
        <v>0</v>
      </c>
      <c r="BK34" s="262">
        <v>0</v>
      </c>
      <c r="BL34" s="262"/>
      <c r="BM34" s="262"/>
      <c r="BN34" s="262"/>
      <c r="BO34" s="262" t="s">
        <v>457</v>
      </c>
      <c r="BP34" s="371"/>
      <c r="BQ34" s="262"/>
      <c r="BR34" s="262"/>
      <c r="BS34" s="260"/>
      <c r="BT34" s="260"/>
      <c r="BU34" s="262"/>
      <c r="BV34" s="262" t="s">
        <v>457</v>
      </c>
      <c r="BW34" s="262"/>
      <c r="BX34" s="260"/>
      <c r="BY34" s="260" t="s">
        <v>971</v>
      </c>
    </row>
    <row r="35" spans="1:77" x14ac:dyDescent="0.15">
      <c r="A35" s="260">
        <v>1</v>
      </c>
      <c r="B35" s="390">
        <v>43750</v>
      </c>
      <c r="C35" s="261" t="s">
        <v>453</v>
      </c>
      <c r="D35" s="260" t="s">
        <v>454</v>
      </c>
      <c r="E35" s="260">
        <v>1</v>
      </c>
      <c r="F35" s="260" t="s">
        <v>808</v>
      </c>
      <c r="G35" s="270">
        <v>43721</v>
      </c>
      <c r="H35" s="262" t="s">
        <v>456</v>
      </c>
      <c r="I35" s="262" t="s">
        <v>457</v>
      </c>
      <c r="J35" s="262">
        <v>17</v>
      </c>
      <c r="K35" s="260" t="s">
        <v>805</v>
      </c>
      <c r="L35" s="260" t="s">
        <v>806</v>
      </c>
      <c r="M35" s="369">
        <v>96.22727272727272</v>
      </c>
      <c r="N35" s="369">
        <v>45.618181818181817</v>
      </c>
      <c r="O35" s="260"/>
      <c r="P35" s="263"/>
      <c r="Q35" s="264"/>
      <c r="R35" s="263"/>
      <c r="S35" s="264"/>
      <c r="T35" s="263"/>
      <c r="U35" s="260"/>
      <c r="V35" s="264"/>
      <c r="W35" s="264"/>
      <c r="X35" s="263"/>
      <c r="Y35" s="260"/>
      <c r="Z35" s="263"/>
      <c r="AA35" s="260"/>
      <c r="AB35" s="263"/>
      <c r="AC35" s="260"/>
      <c r="AD35" s="260"/>
      <c r="AE35" s="264"/>
      <c r="AF35" s="369">
        <v>21.799999999999997</v>
      </c>
      <c r="AG35" s="263"/>
      <c r="AH35" s="260"/>
      <c r="AI35" s="264"/>
      <c r="AJ35" s="260"/>
      <c r="AK35" s="260"/>
      <c r="AL35" s="260"/>
      <c r="AM35" s="260"/>
      <c r="AN35" s="264"/>
      <c r="AO35" s="265"/>
      <c r="AP35" s="264"/>
      <c r="AQ35" s="370" t="s">
        <v>506</v>
      </c>
      <c r="AR35" s="262" t="s">
        <v>457</v>
      </c>
      <c r="AS35" s="262"/>
      <c r="AT35" s="262"/>
      <c r="AU35" s="262">
        <v>7</v>
      </c>
      <c r="AV35" s="262"/>
      <c r="AW35" s="262"/>
      <c r="AX35" s="262"/>
      <c r="AY35" s="262"/>
      <c r="AZ35" s="262" t="s">
        <v>457</v>
      </c>
      <c r="BA35" s="260"/>
      <c r="BB35" s="262">
        <v>0</v>
      </c>
      <c r="BC35" s="262">
        <v>0</v>
      </c>
      <c r="BD35" s="262">
        <v>0</v>
      </c>
      <c r="BE35" s="262">
        <v>0</v>
      </c>
      <c r="BF35" s="262">
        <v>0</v>
      </c>
      <c r="BG35" s="262">
        <v>0</v>
      </c>
      <c r="BH35" s="262">
        <v>0</v>
      </c>
      <c r="BI35" s="262">
        <v>0</v>
      </c>
      <c r="BJ35" s="262">
        <v>0</v>
      </c>
      <c r="BK35" s="262">
        <v>0</v>
      </c>
      <c r="BL35" s="262"/>
      <c r="BM35" s="262"/>
      <c r="BN35" s="262"/>
      <c r="BO35" s="262" t="s">
        <v>457</v>
      </c>
      <c r="BP35" s="371"/>
      <c r="BQ35" s="262"/>
      <c r="BR35" s="262"/>
      <c r="BS35" s="260"/>
      <c r="BT35" s="260"/>
      <c r="BU35" s="262"/>
      <c r="BV35" s="262" t="s">
        <v>457</v>
      </c>
      <c r="BW35" s="262"/>
      <c r="BX35" s="260"/>
      <c r="BY35" s="260" t="s">
        <v>974</v>
      </c>
    </row>
    <row r="36" spans="1:77" x14ac:dyDescent="0.15">
      <c r="A36" s="260">
        <v>1916</v>
      </c>
      <c r="B36" s="390">
        <v>43750</v>
      </c>
      <c r="C36" s="261" t="s">
        <v>755</v>
      </c>
      <c r="D36" s="260" t="s">
        <v>454</v>
      </c>
      <c r="E36" s="260">
        <v>1</v>
      </c>
      <c r="F36" s="260" t="s">
        <v>750</v>
      </c>
      <c r="G36" s="270">
        <v>43742</v>
      </c>
      <c r="H36" s="262" t="s">
        <v>757</v>
      </c>
      <c r="I36" s="262" t="s">
        <v>758</v>
      </c>
      <c r="J36" s="262">
        <v>1</v>
      </c>
      <c r="K36" s="260" t="s">
        <v>759</v>
      </c>
      <c r="L36" s="260" t="s">
        <v>760</v>
      </c>
      <c r="M36" s="369">
        <v>138.6</v>
      </c>
      <c r="N36" s="369">
        <v>52.281818181818174</v>
      </c>
      <c r="O36" s="260"/>
      <c r="P36" s="263"/>
      <c r="Q36" s="264"/>
      <c r="R36" s="263"/>
      <c r="S36" s="264"/>
      <c r="T36" s="263"/>
      <c r="U36" s="260"/>
      <c r="V36" s="264"/>
      <c r="W36" s="369">
        <v>35.4</v>
      </c>
      <c r="X36" s="263"/>
      <c r="Y36" s="260"/>
      <c r="Z36" s="263"/>
      <c r="AA36" s="260"/>
      <c r="AB36" s="263"/>
      <c r="AC36" s="260"/>
      <c r="AD36" s="260"/>
      <c r="AE36" s="264"/>
      <c r="AF36" s="264"/>
      <c r="AG36" s="263"/>
      <c r="AH36" s="260"/>
      <c r="AI36" s="369">
        <v>43.527272727272724</v>
      </c>
      <c r="AJ36" s="260"/>
      <c r="AK36" s="260"/>
      <c r="AL36" s="260"/>
      <c r="AM36" s="260"/>
      <c r="AN36" s="264"/>
      <c r="AO36" s="265"/>
      <c r="AP36" s="264"/>
      <c r="AQ36" t="s">
        <v>832</v>
      </c>
      <c r="AR36" s="262" t="s">
        <v>174</v>
      </c>
      <c r="AS36" s="262"/>
      <c r="AT36" s="262"/>
      <c r="AU36" s="262">
        <v>6</v>
      </c>
      <c r="AV36" s="262"/>
      <c r="AW36" s="262"/>
      <c r="AX36" s="262"/>
      <c r="AY36" s="262"/>
      <c r="AZ36" s="262" t="s">
        <v>762</v>
      </c>
      <c r="BA36" s="260"/>
      <c r="BB36" s="262">
        <v>0</v>
      </c>
      <c r="BC36" s="262">
        <v>0</v>
      </c>
      <c r="BD36" s="262">
        <v>0</v>
      </c>
      <c r="BE36" s="262">
        <v>0</v>
      </c>
      <c r="BF36" s="262">
        <v>0</v>
      </c>
      <c r="BG36" s="262">
        <v>0</v>
      </c>
      <c r="BH36" s="262">
        <v>0</v>
      </c>
      <c r="BI36" s="262">
        <v>0</v>
      </c>
      <c r="BJ36" s="262">
        <v>0</v>
      </c>
      <c r="BK36" s="262">
        <v>0</v>
      </c>
      <c r="BL36" s="262"/>
      <c r="BM36" s="262"/>
      <c r="BN36" s="262">
        <v>12</v>
      </c>
      <c r="BO36" s="262" t="s">
        <v>758</v>
      </c>
      <c r="BP36" s="371"/>
      <c r="BQ36" s="262"/>
      <c r="BR36" s="262"/>
      <c r="BS36" s="260"/>
      <c r="BT36" s="260"/>
      <c r="BU36" s="262"/>
      <c r="BV36" s="262" t="s">
        <v>758</v>
      </c>
      <c r="BW36" s="262"/>
      <c r="BX36" s="260" t="s">
        <v>763</v>
      </c>
      <c r="BY36" s="266" t="s">
        <v>984</v>
      </c>
    </row>
    <row r="37" spans="1:77" x14ac:dyDescent="0.15">
      <c r="A37" s="260">
        <v>283</v>
      </c>
      <c r="B37" s="390">
        <v>43750</v>
      </c>
      <c r="C37" s="261" t="s">
        <v>755</v>
      </c>
      <c r="D37" s="260" t="s">
        <v>454</v>
      </c>
      <c r="E37" s="260">
        <v>1</v>
      </c>
      <c r="F37" s="260" t="s">
        <v>750</v>
      </c>
      <c r="G37" s="267">
        <v>43665</v>
      </c>
      <c r="H37" s="262" t="s">
        <v>175</v>
      </c>
      <c r="I37" s="262" t="s">
        <v>174</v>
      </c>
      <c r="J37" s="262">
        <v>15</v>
      </c>
      <c r="K37" s="260" t="s">
        <v>802</v>
      </c>
      <c r="L37" s="260" t="s">
        <v>884</v>
      </c>
      <c r="M37" s="369">
        <v>160</v>
      </c>
      <c r="N37" s="369">
        <v>43.636363636363633</v>
      </c>
      <c r="O37" s="260"/>
      <c r="P37" s="263"/>
      <c r="Q37" s="264"/>
      <c r="R37" s="263"/>
      <c r="S37" s="264"/>
      <c r="T37" s="263"/>
      <c r="U37" s="260"/>
      <c r="V37" s="264"/>
      <c r="W37" s="369">
        <v>30.909090909090907</v>
      </c>
      <c r="X37" s="260"/>
      <c r="Y37" s="260"/>
      <c r="Z37" s="260"/>
      <c r="AA37" s="260"/>
      <c r="AB37" s="260"/>
      <c r="AC37" s="260"/>
      <c r="AD37" s="260"/>
      <c r="AE37" s="264"/>
      <c r="AF37" s="264"/>
      <c r="AG37" s="263"/>
      <c r="AH37" s="260"/>
      <c r="AI37" s="369">
        <v>40</v>
      </c>
      <c r="AJ37" s="260"/>
      <c r="AK37" s="260"/>
      <c r="AL37" s="260"/>
      <c r="AM37" s="260"/>
      <c r="AN37" s="264"/>
      <c r="AO37" s="265"/>
      <c r="AP37" s="264"/>
      <c r="AQ37" s="24" t="s">
        <v>835</v>
      </c>
      <c r="AR37" s="262" t="s">
        <v>758</v>
      </c>
      <c r="AS37" s="262"/>
      <c r="AT37" s="262"/>
      <c r="AU37" s="262">
        <v>5</v>
      </c>
      <c r="AV37" s="262"/>
      <c r="AW37" s="262"/>
      <c r="AX37" s="262"/>
      <c r="AY37" s="262"/>
      <c r="AZ37" s="262" t="s">
        <v>758</v>
      </c>
      <c r="BA37" s="260"/>
      <c r="BB37" s="262">
        <v>0</v>
      </c>
      <c r="BC37" s="262">
        <v>0</v>
      </c>
      <c r="BD37" s="262">
        <v>0</v>
      </c>
      <c r="BE37" s="262">
        <v>0</v>
      </c>
      <c r="BF37" s="262">
        <v>0</v>
      </c>
      <c r="BG37" s="262">
        <v>0</v>
      </c>
      <c r="BH37" s="262">
        <v>0</v>
      </c>
      <c r="BI37" s="262">
        <v>0</v>
      </c>
      <c r="BJ37" s="262">
        <v>0</v>
      </c>
      <c r="BK37" s="262">
        <v>0</v>
      </c>
      <c r="BL37" s="262"/>
      <c r="BM37" s="262"/>
      <c r="BN37" s="262"/>
      <c r="BO37" s="262" t="s">
        <v>758</v>
      </c>
      <c r="BP37" s="371"/>
      <c r="BQ37" s="262"/>
      <c r="BR37" s="262"/>
      <c r="BS37" s="260"/>
      <c r="BT37" s="260"/>
      <c r="BU37" s="262"/>
      <c r="BV37" s="262" t="s">
        <v>758</v>
      </c>
      <c r="BW37" s="262">
        <v>1</v>
      </c>
      <c r="BX37" s="260"/>
      <c r="BY37" s="260" t="s">
        <v>969</v>
      </c>
    </row>
    <row r="38" spans="1:77" x14ac:dyDescent="0.15">
      <c r="A38" s="260">
        <v>169</v>
      </c>
      <c r="B38" s="390">
        <v>43750</v>
      </c>
      <c r="C38" s="261" t="s">
        <v>755</v>
      </c>
      <c r="D38" s="260" t="s">
        <v>454</v>
      </c>
      <c r="E38" s="260">
        <v>1</v>
      </c>
      <c r="F38" s="260" t="s">
        <v>406</v>
      </c>
      <c r="G38" s="267">
        <v>43646</v>
      </c>
      <c r="H38" s="262" t="s">
        <v>175</v>
      </c>
      <c r="I38" s="262" t="s">
        <v>174</v>
      </c>
      <c r="J38" s="262">
        <v>2</v>
      </c>
      <c r="K38" s="260" t="s">
        <v>765</v>
      </c>
      <c r="L38" s="260" t="s">
        <v>766</v>
      </c>
      <c r="M38" s="369">
        <v>110.10909090909091</v>
      </c>
      <c r="N38" s="369">
        <v>72.75454545454545</v>
      </c>
      <c r="O38" s="260"/>
      <c r="P38" s="263"/>
      <c r="Q38" s="264"/>
      <c r="R38" s="263"/>
      <c r="S38" s="264"/>
      <c r="T38" s="263"/>
      <c r="U38" s="260"/>
      <c r="V38" s="264"/>
      <c r="W38" s="369">
        <v>43.418181818181814</v>
      </c>
      <c r="X38" s="260"/>
      <c r="Y38" s="260"/>
      <c r="Z38" s="260"/>
      <c r="AA38" s="260"/>
      <c r="AB38" s="260"/>
      <c r="AC38" s="260"/>
      <c r="AD38" s="260"/>
      <c r="AE38" s="264"/>
      <c r="AF38" s="264"/>
      <c r="AG38" s="263"/>
      <c r="AH38" s="260"/>
      <c r="AI38" s="264"/>
      <c r="AJ38" s="260"/>
      <c r="AK38" s="260"/>
      <c r="AL38" s="260"/>
      <c r="AM38" s="260"/>
      <c r="AN38" s="264"/>
      <c r="AO38" s="265"/>
      <c r="AP38" s="264"/>
      <c r="AQ38" s="370" t="s">
        <v>838</v>
      </c>
      <c r="AR38" s="262" t="s">
        <v>758</v>
      </c>
      <c r="AS38" s="262"/>
      <c r="AT38" s="262"/>
      <c r="AU38" s="262">
        <v>8</v>
      </c>
      <c r="AV38" s="262"/>
      <c r="AW38" s="262"/>
      <c r="AX38" s="262"/>
      <c r="AY38" s="262"/>
      <c r="AZ38" s="262" t="s">
        <v>758</v>
      </c>
      <c r="BA38" s="260"/>
      <c r="BB38" s="262">
        <v>0</v>
      </c>
      <c r="BC38" s="262">
        <v>0</v>
      </c>
      <c r="BD38" s="262">
        <v>0</v>
      </c>
      <c r="BE38" s="262">
        <v>0</v>
      </c>
      <c r="BF38" s="262">
        <v>0</v>
      </c>
      <c r="BG38" s="262">
        <v>0</v>
      </c>
      <c r="BH38" s="262">
        <v>0</v>
      </c>
      <c r="BI38" s="262">
        <v>0</v>
      </c>
      <c r="BJ38" s="262">
        <v>0</v>
      </c>
      <c r="BK38" s="262">
        <v>0</v>
      </c>
      <c r="BL38" s="262"/>
      <c r="BM38" s="262"/>
      <c r="BN38" s="262"/>
      <c r="BO38" s="262" t="s">
        <v>758</v>
      </c>
      <c r="BP38" s="371"/>
      <c r="BQ38" s="262"/>
      <c r="BR38" s="262"/>
      <c r="BS38" s="260"/>
      <c r="BT38" s="260"/>
      <c r="BU38" s="262"/>
      <c r="BV38" s="262" t="s">
        <v>758</v>
      </c>
      <c r="BW38" s="262">
        <v>1</v>
      </c>
      <c r="BX38" s="260"/>
      <c r="BY38" s="260" t="s">
        <v>935</v>
      </c>
    </row>
    <row r="39" spans="1:77" x14ac:dyDescent="0.15">
      <c r="A39" s="260">
        <v>433</v>
      </c>
      <c r="B39" s="390">
        <v>43750</v>
      </c>
      <c r="C39" s="261" t="s">
        <v>315</v>
      </c>
      <c r="D39" s="260" t="s">
        <v>454</v>
      </c>
      <c r="E39" s="260">
        <v>1</v>
      </c>
      <c r="F39" s="260" t="s">
        <v>507</v>
      </c>
      <c r="G39" s="267">
        <v>43646</v>
      </c>
      <c r="H39" s="262" t="s">
        <v>334</v>
      </c>
      <c r="I39" s="262" t="s">
        <v>318</v>
      </c>
      <c r="J39" s="262">
        <v>3</v>
      </c>
      <c r="K39" s="260" t="s">
        <v>341</v>
      </c>
      <c r="L39" s="260" t="s">
        <v>858</v>
      </c>
      <c r="M39" s="369">
        <v>128.07272727272726</v>
      </c>
      <c r="N39" s="369">
        <v>49.972727272727269</v>
      </c>
      <c r="O39" s="260" t="s">
        <v>518</v>
      </c>
      <c r="P39" s="260">
        <v>1000</v>
      </c>
      <c r="Q39" s="369">
        <v>56.090909090909086</v>
      </c>
      <c r="R39" s="263">
        <v>1500</v>
      </c>
      <c r="S39" s="369">
        <v>60.318181818181806</v>
      </c>
      <c r="T39" s="260"/>
      <c r="U39" s="260"/>
      <c r="V39" s="264"/>
      <c r="W39" s="369">
        <v>32.463636363636361</v>
      </c>
      <c r="X39" s="260"/>
      <c r="Y39" s="260"/>
      <c r="Z39" s="260"/>
      <c r="AA39" s="260"/>
      <c r="AB39" s="260"/>
      <c r="AC39" s="260"/>
      <c r="AD39" s="260"/>
      <c r="AE39" s="264"/>
      <c r="AF39" s="264"/>
      <c r="AG39" s="263"/>
      <c r="AH39" s="260"/>
      <c r="AI39" s="264"/>
      <c r="AJ39" s="260"/>
      <c r="AK39" s="260"/>
      <c r="AL39" s="260"/>
      <c r="AM39" s="260"/>
      <c r="AN39" s="264"/>
      <c r="AO39" s="265"/>
      <c r="AP39" s="264"/>
      <c r="AQ39" s="260" t="s">
        <v>407</v>
      </c>
      <c r="AR39" s="262" t="s">
        <v>318</v>
      </c>
      <c r="AS39" s="262"/>
      <c r="AT39" s="262"/>
      <c r="AU39" s="262">
        <v>5.2</v>
      </c>
      <c r="AV39" s="262"/>
      <c r="AW39" s="262"/>
      <c r="AX39" s="262"/>
      <c r="AY39" s="262"/>
      <c r="AZ39" s="262" t="s">
        <v>323</v>
      </c>
      <c r="BA39" s="260"/>
      <c r="BB39" s="262">
        <v>0</v>
      </c>
      <c r="BC39" s="262">
        <v>0</v>
      </c>
      <c r="BD39" s="262">
        <v>2</v>
      </c>
      <c r="BE39" s="262">
        <v>0</v>
      </c>
      <c r="BF39" s="262">
        <v>0</v>
      </c>
      <c r="BG39" s="262">
        <v>0</v>
      </c>
      <c r="BH39" s="262">
        <v>0</v>
      </c>
      <c r="BI39" s="262">
        <v>0</v>
      </c>
      <c r="BJ39" s="262">
        <v>0</v>
      </c>
      <c r="BK39" s="262">
        <v>0</v>
      </c>
      <c r="BL39" s="262"/>
      <c r="BM39" s="262"/>
      <c r="BN39" s="262"/>
      <c r="BO39" s="262" t="s">
        <v>318</v>
      </c>
      <c r="BP39" s="371"/>
      <c r="BQ39" s="262"/>
      <c r="BR39" s="262"/>
      <c r="BS39" s="260"/>
      <c r="BT39" s="260"/>
      <c r="BU39" s="262"/>
      <c r="BV39" s="262" t="s">
        <v>318</v>
      </c>
      <c r="BW39" s="262"/>
      <c r="BX39" s="260"/>
      <c r="BY39" s="260" t="s">
        <v>938</v>
      </c>
    </row>
    <row r="40" spans="1:77" x14ac:dyDescent="0.15">
      <c r="A40" s="260">
        <v>754</v>
      </c>
      <c r="B40" s="390">
        <v>43750</v>
      </c>
      <c r="C40" s="261" t="s">
        <v>453</v>
      </c>
      <c r="D40" s="260" t="s">
        <v>454</v>
      </c>
      <c r="E40" s="260">
        <v>1</v>
      </c>
      <c r="F40" s="260" t="s">
        <v>507</v>
      </c>
      <c r="G40" s="270">
        <v>43692</v>
      </c>
      <c r="H40" s="262" t="s">
        <v>456</v>
      </c>
      <c r="I40" s="262" t="s">
        <v>457</v>
      </c>
      <c r="J40" s="262">
        <v>4</v>
      </c>
      <c r="K40" s="260" t="s">
        <v>476</v>
      </c>
      <c r="L40" s="260" t="s">
        <v>859</v>
      </c>
      <c r="M40" s="369">
        <v>120.10000000000001</v>
      </c>
      <c r="N40" s="369">
        <v>56.545454545454547</v>
      </c>
      <c r="O40" s="260"/>
      <c r="P40" s="263"/>
      <c r="Q40" s="264"/>
      <c r="R40" s="263"/>
      <c r="S40" s="264"/>
      <c r="T40" s="263"/>
      <c r="U40" s="260"/>
      <c r="V40" s="264"/>
      <c r="W40" s="369">
        <v>37.909090909090907</v>
      </c>
      <c r="X40" s="263"/>
      <c r="Y40" s="260"/>
      <c r="Z40" s="263"/>
      <c r="AA40" s="260"/>
      <c r="AB40" s="263"/>
      <c r="AC40" s="260"/>
      <c r="AD40" s="260"/>
      <c r="AE40" s="264"/>
      <c r="AF40" s="264"/>
      <c r="AG40" s="263"/>
      <c r="AH40" s="260"/>
      <c r="AI40" s="264"/>
      <c r="AJ40" s="260"/>
      <c r="AK40" s="260"/>
      <c r="AL40" s="260"/>
      <c r="AM40" s="260"/>
      <c r="AN40" s="264"/>
      <c r="AO40" s="265"/>
      <c r="AP40" s="264"/>
      <c r="AQ40" s="260" t="s">
        <v>508</v>
      </c>
      <c r="AR40" s="262" t="s">
        <v>457</v>
      </c>
      <c r="AS40" s="262"/>
      <c r="AT40" s="262"/>
      <c r="AU40" s="262">
        <v>9.35</v>
      </c>
      <c r="AV40" s="262"/>
      <c r="AW40" s="262"/>
      <c r="AX40" s="262"/>
      <c r="AY40" s="262"/>
      <c r="AZ40" s="262" t="s">
        <v>462</v>
      </c>
      <c r="BA40" s="260"/>
      <c r="BB40" s="262">
        <v>7</v>
      </c>
      <c r="BC40" s="262">
        <v>0</v>
      </c>
      <c r="BD40" s="262">
        <v>0</v>
      </c>
      <c r="BE40" s="262">
        <v>0</v>
      </c>
      <c r="BF40" s="262">
        <v>0</v>
      </c>
      <c r="BG40" s="262">
        <v>0</v>
      </c>
      <c r="BH40" s="262">
        <v>0</v>
      </c>
      <c r="BI40" s="262">
        <v>0</v>
      </c>
      <c r="BJ40" s="262">
        <v>0</v>
      </c>
      <c r="BK40" s="262">
        <v>0</v>
      </c>
      <c r="BL40" s="262"/>
      <c r="BM40" s="262"/>
      <c r="BN40" s="262">
        <v>24</v>
      </c>
      <c r="BO40" s="262" t="s">
        <v>457</v>
      </c>
      <c r="BP40" s="371"/>
      <c r="BQ40" s="262"/>
      <c r="BR40" s="262"/>
      <c r="BS40" s="260"/>
      <c r="BT40" s="260"/>
      <c r="BU40" s="262"/>
      <c r="BV40" s="262" t="s">
        <v>457</v>
      </c>
      <c r="BW40" s="262">
        <v>1</v>
      </c>
      <c r="BX40" s="260"/>
      <c r="BY40" s="260" t="s">
        <v>941</v>
      </c>
    </row>
    <row r="41" spans="1:77" x14ac:dyDescent="0.15">
      <c r="A41" s="260">
        <v>978</v>
      </c>
      <c r="B41" s="390">
        <v>43750</v>
      </c>
      <c r="C41" s="261" t="s">
        <v>861</v>
      </c>
      <c r="D41" s="260" t="s">
        <v>454</v>
      </c>
      <c r="E41" s="260">
        <v>1</v>
      </c>
      <c r="F41" s="260" t="s">
        <v>507</v>
      </c>
      <c r="G41" s="270">
        <v>43670</v>
      </c>
      <c r="H41" s="262" t="s">
        <v>863</v>
      </c>
      <c r="I41" s="262" t="s">
        <v>864</v>
      </c>
      <c r="J41" s="262">
        <v>5</v>
      </c>
      <c r="K41" s="260" t="s">
        <v>302</v>
      </c>
      <c r="L41" s="260" t="s">
        <v>521</v>
      </c>
      <c r="M41" s="369">
        <v>130</v>
      </c>
      <c r="N41" s="369">
        <v>47.999999999999993</v>
      </c>
      <c r="O41" s="260"/>
      <c r="P41" s="263"/>
      <c r="Q41" s="264"/>
      <c r="R41" s="263"/>
      <c r="S41" s="264"/>
      <c r="T41" s="263"/>
      <c r="U41" s="260"/>
      <c r="V41" s="264"/>
      <c r="W41" s="369">
        <v>31</v>
      </c>
      <c r="X41" s="260"/>
      <c r="Y41" s="260"/>
      <c r="Z41" s="260"/>
      <c r="AA41" s="260"/>
      <c r="AB41" s="260"/>
      <c r="AC41" s="260"/>
      <c r="AD41" s="260"/>
      <c r="AE41" s="264"/>
      <c r="AF41" s="264"/>
      <c r="AG41" s="263"/>
      <c r="AH41" s="260"/>
      <c r="AI41" s="264"/>
      <c r="AJ41" s="260"/>
      <c r="AK41" s="260"/>
      <c r="AL41" s="260"/>
      <c r="AM41" s="260"/>
      <c r="AN41" s="264"/>
      <c r="AO41" s="265"/>
      <c r="AP41" s="264"/>
      <c r="AQ41" s="370" t="s">
        <v>901</v>
      </c>
      <c r="AR41" s="262" t="s">
        <v>864</v>
      </c>
      <c r="AS41" s="262"/>
      <c r="AT41" s="262"/>
      <c r="AU41" s="262">
        <v>5.5</v>
      </c>
      <c r="AV41" s="262"/>
      <c r="AW41" s="262"/>
      <c r="AX41" s="262"/>
      <c r="AY41" s="262"/>
      <c r="AZ41" s="262" t="s">
        <v>361</v>
      </c>
      <c r="BA41" s="260"/>
      <c r="BB41" s="262">
        <v>0</v>
      </c>
      <c r="BC41" s="262">
        <v>0</v>
      </c>
      <c r="BD41" s="262">
        <v>0</v>
      </c>
      <c r="BE41" s="262">
        <v>0</v>
      </c>
      <c r="BF41" s="262">
        <v>0</v>
      </c>
      <c r="BG41" s="262">
        <v>0</v>
      </c>
      <c r="BH41" s="262">
        <v>0</v>
      </c>
      <c r="BI41" s="262">
        <v>0</v>
      </c>
      <c r="BJ41" s="262">
        <v>0</v>
      </c>
      <c r="BK41" s="262">
        <v>0</v>
      </c>
      <c r="BL41" s="262"/>
      <c r="BM41" s="262"/>
      <c r="BN41" s="262"/>
      <c r="BO41" s="262" t="s">
        <v>864</v>
      </c>
      <c r="BP41" s="371"/>
      <c r="BQ41" s="262"/>
      <c r="BR41" s="262"/>
      <c r="BS41" s="260"/>
      <c r="BT41" s="260"/>
      <c r="BU41" s="262"/>
      <c r="BV41" s="262" t="s">
        <v>864</v>
      </c>
      <c r="BW41" s="262"/>
      <c r="BX41" s="260"/>
      <c r="BY41" s="260" t="s">
        <v>944</v>
      </c>
    </row>
    <row r="42" spans="1:77" x14ac:dyDescent="0.15">
      <c r="A42" s="260">
        <v>1381</v>
      </c>
      <c r="B42" s="390">
        <v>43750</v>
      </c>
      <c r="C42" s="261" t="s">
        <v>755</v>
      </c>
      <c r="D42" s="260" t="s">
        <v>454</v>
      </c>
      <c r="E42" s="260">
        <v>1</v>
      </c>
      <c r="F42" s="260" t="s">
        <v>507</v>
      </c>
      <c r="G42" s="270">
        <v>43652</v>
      </c>
      <c r="H42" s="262" t="s">
        <v>757</v>
      </c>
      <c r="I42" s="262" t="s">
        <v>758</v>
      </c>
      <c r="J42" s="262">
        <v>6</v>
      </c>
      <c r="K42" s="260" t="s">
        <v>773</v>
      </c>
      <c r="L42" s="260" t="s">
        <v>774</v>
      </c>
      <c r="M42" s="369">
        <v>98.027272727272717</v>
      </c>
      <c r="N42" s="369">
        <v>48.881818181818183</v>
      </c>
      <c r="O42" s="260"/>
      <c r="P42" s="263"/>
      <c r="Q42" s="264"/>
      <c r="R42" s="263"/>
      <c r="S42" s="264"/>
      <c r="T42" s="263"/>
      <c r="U42" s="260"/>
      <c r="V42" s="264"/>
      <c r="W42" s="369">
        <v>31.772727272727273</v>
      </c>
      <c r="X42" s="260"/>
      <c r="Y42" s="260"/>
      <c r="Z42" s="263"/>
      <c r="AA42" s="260"/>
      <c r="AB42" s="263"/>
      <c r="AC42" s="260"/>
      <c r="AD42" s="260"/>
      <c r="AE42" s="264"/>
      <c r="AF42" s="264"/>
      <c r="AG42" s="263"/>
      <c r="AH42" s="260"/>
      <c r="AI42" s="264"/>
      <c r="AJ42" s="260"/>
      <c r="AK42" s="260"/>
      <c r="AL42" s="260"/>
      <c r="AM42" s="260"/>
      <c r="AN42" s="264"/>
      <c r="AO42" s="265"/>
      <c r="AP42" s="264"/>
      <c r="AQ42" s="260" t="s">
        <v>838</v>
      </c>
      <c r="AR42" s="262" t="s">
        <v>758</v>
      </c>
      <c r="AS42" s="262"/>
      <c r="AT42" s="262"/>
      <c r="AU42" s="262">
        <v>6</v>
      </c>
      <c r="AV42" s="262"/>
      <c r="AW42" s="262"/>
      <c r="AX42" s="262"/>
      <c r="AY42" s="262"/>
      <c r="AZ42" s="262" t="s">
        <v>762</v>
      </c>
      <c r="BA42" s="260"/>
      <c r="BB42" s="262">
        <v>0</v>
      </c>
      <c r="BC42" s="262">
        <v>0</v>
      </c>
      <c r="BD42" s="262">
        <v>0</v>
      </c>
      <c r="BE42" s="262">
        <v>0</v>
      </c>
      <c r="BF42" s="262">
        <v>0</v>
      </c>
      <c r="BG42" s="262">
        <v>0</v>
      </c>
      <c r="BH42" s="262">
        <v>0</v>
      </c>
      <c r="BI42" s="262">
        <v>0</v>
      </c>
      <c r="BJ42" s="262">
        <v>0</v>
      </c>
      <c r="BK42" s="262">
        <v>0</v>
      </c>
      <c r="BL42" s="262"/>
      <c r="BM42" s="262"/>
      <c r="BN42" s="262">
        <v>12</v>
      </c>
      <c r="BO42" s="262" t="s">
        <v>758</v>
      </c>
      <c r="BP42" s="371"/>
      <c r="BQ42" s="262"/>
      <c r="BR42" s="262"/>
      <c r="BS42" s="260"/>
      <c r="BT42" s="260"/>
      <c r="BU42" s="262"/>
      <c r="BV42" s="262" t="s">
        <v>758</v>
      </c>
      <c r="BW42" s="262"/>
      <c r="BX42" s="260"/>
      <c r="BY42" s="370" t="s">
        <v>947</v>
      </c>
    </row>
    <row r="43" spans="1:77" x14ac:dyDescent="0.15">
      <c r="A43" s="260">
        <v>1715</v>
      </c>
      <c r="B43" s="390">
        <v>43750</v>
      </c>
      <c r="C43" s="261" t="s">
        <v>861</v>
      </c>
      <c r="D43" s="260" t="s">
        <v>454</v>
      </c>
      <c r="E43" s="260">
        <v>1</v>
      </c>
      <c r="F43" s="260" t="s">
        <v>507</v>
      </c>
      <c r="G43" s="270">
        <v>43670</v>
      </c>
      <c r="H43" s="262" t="s">
        <v>863</v>
      </c>
      <c r="I43" s="262" t="s">
        <v>864</v>
      </c>
      <c r="J43" s="262">
        <v>7</v>
      </c>
      <c r="K43" s="260" t="s">
        <v>868</v>
      </c>
      <c r="L43" s="260" t="s">
        <v>525</v>
      </c>
      <c r="M43" s="369">
        <v>130</v>
      </c>
      <c r="N43" s="369">
        <v>47.999999999999993</v>
      </c>
      <c r="O43" s="260"/>
      <c r="P43" s="263"/>
      <c r="Q43" s="264"/>
      <c r="R43" s="263"/>
      <c r="S43" s="264"/>
      <c r="T43" s="260"/>
      <c r="U43" s="260"/>
      <c r="V43" s="264"/>
      <c r="W43" s="369">
        <v>31</v>
      </c>
      <c r="X43" s="260"/>
      <c r="Y43" s="260"/>
      <c r="Z43" s="260"/>
      <c r="AA43" s="260"/>
      <c r="AB43" s="260"/>
      <c r="AC43" s="260"/>
      <c r="AD43" s="260"/>
      <c r="AE43" s="264"/>
      <c r="AF43" s="264"/>
      <c r="AG43" s="263"/>
      <c r="AH43" s="260"/>
      <c r="AI43" s="264"/>
      <c r="AJ43" s="260"/>
      <c r="AK43" s="260"/>
      <c r="AL43" s="260"/>
      <c r="AM43" s="260"/>
      <c r="AN43" s="264"/>
      <c r="AO43" s="265"/>
      <c r="AP43" s="264"/>
      <c r="AQ43" s="370" t="s">
        <v>901</v>
      </c>
      <c r="AR43" s="262" t="s">
        <v>864</v>
      </c>
      <c r="AS43" s="262"/>
      <c r="AT43" s="262"/>
      <c r="AU43" s="262">
        <v>5.5</v>
      </c>
      <c r="AV43" s="262"/>
      <c r="AW43" s="262"/>
      <c r="AX43" s="262"/>
      <c r="AY43" s="262"/>
      <c r="AZ43" s="262" t="s">
        <v>869</v>
      </c>
      <c r="BA43" s="260"/>
      <c r="BB43" s="262">
        <v>0</v>
      </c>
      <c r="BC43" s="262">
        <v>0</v>
      </c>
      <c r="BD43" s="262">
        <v>0</v>
      </c>
      <c r="BE43" s="262">
        <v>0</v>
      </c>
      <c r="BF43" s="262">
        <v>0</v>
      </c>
      <c r="BG43" s="262">
        <v>0</v>
      </c>
      <c r="BH43" s="262">
        <v>0</v>
      </c>
      <c r="BI43" s="262">
        <v>0</v>
      </c>
      <c r="BJ43" s="262">
        <v>0</v>
      </c>
      <c r="BK43" s="262">
        <v>0</v>
      </c>
      <c r="BL43" s="262"/>
      <c r="BM43" s="262"/>
      <c r="BN43" s="262"/>
      <c r="BO43" s="262" t="s">
        <v>864</v>
      </c>
      <c r="BP43" s="371"/>
      <c r="BQ43" s="262"/>
      <c r="BR43" s="373"/>
      <c r="BS43" s="260"/>
      <c r="BT43" s="260"/>
      <c r="BU43" s="262"/>
      <c r="BV43" s="262" t="s">
        <v>864</v>
      </c>
      <c r="BW43" s="262"/>
      <c r="BX43" s="260"/>
      <c r="BY43" s="260" t="s">
        <v>950</v>
      </c>
    </row>
    <row r="44" spans="1:77" x14ac:dyDescent="0.15">
      <c r="A44" s="260">
        <v>1138</v>
      </c>
      <c r="B44" s="390">
        <v>43750</v>
      </c>
      <c r="C44" s="261" t="s">
        <v>861</v>
      </c>
      <c r="D44" s="260" t="s">
        <v>454</v>
      </c>
      <c r="E44" s="260">
        <v>1</v>
      </c>
      <c r="F44" s="260" t="s">
        <v>507</v>
      </c>
      <c r="G44" s="270">
        <v>43646</v>
      </c>
      <c r="H44" s="262" t="s">
        <v>863</v>
      </c>
      <c r="I44" s="262" t="s">
        <v>864</v>
      </c>
      <c r="J44" s="262">
        <v>8</v>
      </c>
      <c r="K44" s="260" t="s">
        <v>254</v>
      </c>
      <c r="L44" s="260" t="s">
        <v>327</v>
      </c>
      <c r="M44" s="369">
        <v>110.69999999999999</v>
      </c>
      <c r="N44" s="369">
        <v>54.954545454545453</v>
      </c>
      <c r="O44" s="260"/>
      <c r="P44" s="263"/>
      <c r="Q44" s="264"/>
      <c r="R44" s="263"/>
      <c r="S44" s="264"/>
      <c r="T44" s="260"/>
      <c r="U44" s="260"/>
      <c r="V44" s="264"/>
      <c r="W44" s="369">
        <v>40.781818181818181</v>
      </c>
      <c r="X44" s="260"/>
      <c r="Y44" s="260"/>
      <c r="Z44" s="260"/>
      <c r="AA44" s="260"/>
      <c r="AB44" s="260"/>
      <c r="AC44" s="260"/>
      <c r="AD44" s="260"/>
      <c r="AE44" s="264"/>
      <c r="AF44" s="264"/>
      <c r="AG44" s="263"/>
      <c r="AH44" s="260"/>
      <c r="AI44" s="264"/>
      <c r="AJ44" s="260"/>
      <c r="AK44" s="260"/>
      <c r="AL44" s="260"/>
      <c r="AM44" s="260"/>
      <c r="AN44" s="264"/>
      <c r="AO44" s="265"/>
      <c r="AP44" s="264"/>
      <c r="AQ44" s="260" t="s">
        <v>901</v>
      </c>
      <c r="AR44" s="262" t="s">
        <v>864</v>
      </c>
      <c r="AS44" s="262"/>
      <c r="AT44" s="262"/>
      <c r="AU44" s="262">
        <v>5.5</v>
      </c>
      <c r="AV44" s="262"/>
      <c r="AW44" s="262"/>
      <c r="AX44" s="262"/>
      <c r="AY44" s="262"/>
      <c r="AZ44" s="262" t="s">
        <v>153</v>
      </c>
      <c r="BA44" s="260"/>
      <c r="BB44" s="262">
        <v>0</v>
      </c>
      <c r="BC44" s="262">
        <v>0</v>
      </c>
      <c r="BD44" s="262">
        <v>0</v>
      </c>
      <c r="BE44" s="262">
        <v>0</v>
      </c>
      <c r="BF44" s="262">
        <v>0</v>
      </c>
      <c r="BG44" s="262">
        <v>0</v>
      </c>
      <c r="BH44" s="262">
        <v>0</v>
      </c>
      <c r="BI44" s="262">
        <v>0</v>
      </c>
      <c r="BJ44" s="262">
        <v>0</v>
      </c>
      <c r="BK44" s="262">
        <v>0</v>
      </c>
      <c r="BL44" s="262"/>
      <c r="BM44" s="262"/>
      <c r="BN44" s="262"/>
      <c r="BO44" s="262" t="s">
        <v>864</v>
      </c>
      <c r="BP44" s="371"/>
      <c r="BQ44" s="262"/>
      <c r="BR44" s="373"/>
      <c r="BS44" s="260"/>
      <c r="BT44" s="260"/>
      <c r="BU44" s="262"/>
      <c r="BV44" s="262" t="s">
        <v>864</v>
      </c>
      <c r="BW44" s="262"/>
      <c r="BX44" s="260"/>
      <c r="BY44" s="266" t="s">
        <v>953</v>
      </c>
    </row>
    <row r="45" spans="1:77" x14ac:dyDescent="0.15">
      <c r="A45" s="260">
        <v>1502</v>
      </c>
      <c r="B45" s="390">
        <v>43750</v>
      </c>
      <c r="C45" s="261" t="s">
        <v>755</v>
      </c>
      <c r="D45" s="260" t="s">
        <v>454</v>
      </c>
      <c r="E45" s="260">
        <v>1</v>
      </c>
      <c r="F45" s="260" t="s">
        <v>507</v>
      </c>
      <c r="G45" s="270">
        <v>43677</v>
      </c>
      <c r="H45" s="262" t="s">
        <v>757</v>
      </c>
      <c r="I45" s="262" t="s">
        <v>758</v>
      </c>
      <c r="J45" s="262">
        <v>9</v>
      </c>
      <c r="K45" s="260" t="s">
        <v>495</v>
      </c>
      <c r="L45" s="260" t="s">
        <v>781</v>
      </c>
      <c r="M45" s="369">
        <v>155.99999999999997</v>
      </c>
      <c r="N45" s="369">
        <v>51.79999999999999</v>
      </c>
      <c r="O45" s="260"/>
      <c r="P45" s="263"/>
      <c r="Q45" s="264"/>
      <c r="R45" s="263"/>
      <c r="S45" s="264"/>
      <c r="T45" s="260"/>
      <c r="U45" s="260"/>
      <c r="V45" s="264"/>
      <c r="W45" s="369">
        <v>41.736363636363627</v>
      </c>
      <c r="X45" s="260"/>
      <c r="Y45" s="260"/>
      <c r="Z45" s="260"/>
      <c r="AA45" s="260"/>
      <c r="AB45" s="260"/>
      <c r="AC45" s="260"/>
      <c r="AD45" s="260"/>
      <c r="AE45" s="264"/>
      <c r="AF45" s="264"/>
      <c r="AG45" s="263"/>
      <c r="AH45" s="260"/>
      <c r="AI45" s="264"/>
      <c r="AJ45" s="260"/>
      <c r="AK45" s="260"/>
      <c r="AL45" s="260"/>
      <c r="AM45" s="260"/>
      <c r="AN45" s="264"/>
      <c r="AO45" s="265"/>
      <c r="AP45" s="264"/>
      <c r="AQ45" s="260" t="s">
        <v>838</v>
      </c>
      <c r="AR45" s="262" t="s">
        <v>758</v>
      </c>
      <c r="AS45" s="262"/>
      <c r="AT45" s="262"/>
      <c r="AU45" s="262">
        <v>5</v>
      </c>
      <c r="AV45" s="262"/>
      <c r="AW45" s="262"/>
      <c r="AX45" s="262"/>
      <c r="AY45" s="262"/>
      <c r="AZ45" s="262" t="s">
        <v>762</v>
      </c>
      <c r="BA45" s="260"/>
      <c r="BB45" s="262">
        <v>0</v>
      </c>
      <c r="BC45" s="262">
        <v>0</v>
      </c>
      <c r="BD45" s="262">
        <v>0</v>
      </c>
      <c r="BE45" s="262">
        <v>0</v>
      </c>
      <c r="BF45" s="262">
        <v>0</v>
      </c>
      <c r="BG45" s="262">
        <v>0</v>
      </c>
      <c r="BH45" s="262">
        <v>0</v>
      </c>
      <c r="BI45" s="262">
        <v>0</v>
      </c>
      <c r="BJ45" s="262">
        <v>0</v>
      </c>
      <c r="BK45" s="262">
        <v>0</v>
      </c>
      <c r="BL45" s="262"/>
      <c r="BM45" s="262"/>
      <c r="BN45" s="262"/>
      <c r="BO45" s="262" t="s">
        <v>758</v>
      </c>
      <c r="BP45" s="371"/>
      <c r="BQ45" s="262"/>
      <c r="BR45" s="262"/>
      <c r="BS45" s="260"/>
      <c r="BT45" s="260"/>
      <c r="BU45" s="262"/>
      <c r="BV45" s="262" t="s">
        <v>758</v>
      </c>
      <c r="BW45" s="262">
        <v>1</v>
      </c>
      <c r="BX45" s="260"/>
      <c r="BY45" s="374" t="s">
        <v>956</v>
      </c>
    </row>
    <row r="46" spans="1:77" x14ac:dyDescent="0.15">
      <c r="A46" s="260">
        <v>592</v>
      </c>
      <c r="B46" s="390">
        <v>43750</v>
      </c>
      <c r="C46" s="261" t="s">
        <v>453</v>
      </c>
      <c r="D46" s="260" t="s">
        <v>454</v>
      </c>
      <c r="E46" s="260">
        <v>1</v>
      </c>
      <c r="F46" s="260" t="s">
        <v>507</v>
      </c>
      <c r="G46" s="270">
        <v>43727</v>
      </c>
      <c r="H46" s="262" t="s">
        <v>456</v>
      </c>
      <c r="I46" s="262" t="s">
        <v>457</v>
      </c>
      <c r="J46" s="262">
        <v>10</v>
      </c>
      <c r="K46" s="260" t="s">
        <v>875</v>
      </c>
      <c r="L46" s="260" t="s">
        <v>595</v>
      </c>
      <c r="M46" s="369">
        <v>84.545454545454533</v>
      </c>
      <c r="N46" s="369">
        <v>38.636363636363633</v>
      </c>
      <c r="O46" s="260"/>
      <c r="P46" s="263"/>
      <c r="Q46" s="264"/>
      <c r="R46" s="263"/>
      <c r="S46" s="264"/>
      <c r="T46" s="263"/>
      <c r="U46" s="260"/>
      <c r="V46" s="264"/>
      <c r="W46" s="369">
        <v>29.999999999999996</v>
      </c>
      <c r="X46" s="263"/>
      <c r="Y46" s="260"/>
      <c r="Z46" s="263"/>
      <c r="AA46" s="260"/>
      <c r="AB46" s="263"/>
      <c r="AC46" s="260"/>
      <c r="AD46" s="260"/>
      <c r="AE46" s="264"/>
      <c r="AF46" s="264"/>
      <c r="AG46" s="263"/>
      <c r="AH46" s="260"/>
      <c r="AI46" s="264"/>
      <c r="AJ46" s="260"/>
      <c r="AK46" s="260"/>
      <c r="AL46" s="260"/>
      <c r="AM46" s="260"/>
      <c r="AN46" s="264"/>
      <c r="AO46" s="265"/>
      <c r="AP46" s="264"/>
      <c r="AQ46" s="260" t="s">
        <v>508</v>
      </c>
      <c r="AR46" s="262" t="s">
        <v>457</v>
      </c>
      <c r="AS46" s="262"/>
      <c r="AT46" s="262"/>
      <c r="AU46" s="262">
        <v>6</v>
      </c>
      <c r="AV46" s="262"/>
      <c r="AW46" s="262"/>
      <c r="AX46" s="262"/>
      <c r="AY46" s="262"/>
      <c r="AZ46" s="262" t="s">
        <v>462</v>
      </c>
      <c r="BA46" s="260"/>
      <c r="BB46" s="262">
        <v>0</v>
      </c>
      <c r="BC46" s="262">
        <v>0</v>
      </c>
      <c r="BD46" s="262">
        <v>0</v>
      </c>
      <c r="BE46" s="262">
        <v>0</v>
      </c>
      <c r="BF46" s="262">
        <v>0</v>
      </c>
      <c r="BG46" s="262">
        <v>0</v>
      </c>
      <c r="BH46" s="262">
        <v>0</v>
      </c>
      <c r="BI46" s="262">
        <v>0</v>
      </c>
      <c r="BJ46" s="262">
        <v>0</v>
      </c>
      <c r="BK46" s="262">
        <v>0</v>
      </c>
      <c r="BL46" s="262"/>
      <c r="BM46" s="262"/>
      <c r="BN46" s="262"/>
      <c r="BO46" s="262" t="s">
        <v>457</v>
      </c>
      <c r="BP46" s="375">
        <v>177.21818181818179</v>
      </c>
      <c r="BQ46" s="262"/>
      <c r="BR46" s="373"/>
      <c r="BS46" s="266"/>
      <c r="BT46" s="266"/>
      <c r="BU46" s="266"/>
      <c r="BV46" s="262" t="s">
        <v>457</v>
      </c>
      <c r="BW46" s="262"/>
      <c r="BX46" s="260" t="s">
        <v>785</v>
      </c>
      <c r="BY46" s="260" t="s">
        <v>958</v>
      </c>
    </row>
    <row r="47" spans="1:77" x14ac:dyDescent="0.15">
      <c r="A47" s="260">
        <v>2034</v>
      </c>
      <c r="B47" s="390">
        <v>43750</v>
      </c>
      <c r="C47" s="261" t="s">
        <v>191</v>
      </c>
      <c r="D47" s="260" t="s">
        <v>454</v>
      </c>
      <c r="E47" s="260">
        <v>1</v>
      </c>
      <c r="F47" s="260" t="s">
        <v>507</v>
      </c>
      <c r="G47" s="270">
        <v>43677</v>
      </c>
      <c r="H47" s="262" t="s">
        <v>863</v>
      </c>
      <c r="I47" s="262" t="s">
        <v>864</v>
      </c>
      <c r="J47" s="262">
        <v>11</v>
      </c>
      <c r="K47" s="260" t="s">
        <v>691</v>
      </c>
      <c r="L47" s="260" t="s">
        <v>791</v>
      </c>
      <c r="M47" s="369">
        <v>101.46363636363635</v>
      </c>
      <c r="N47" s="369">
        <v>52.127272727272725</v>
      </c>
      <c r="O47" s="260"/>
      <c r="P47" s="263"/>
      <c r="Q47" s="264"/>
      <c r="R47" s="263"/>
      <c r="S47" s="264"/>
      <c r="T47" s="263"/>
      <c r="U47" s="260"/>
      <c r="V47" s="264"/>
      <c r="W47" s="369">
        <v>47.272727272727266</v>
      </c>
      <c r="X47" s="260"/>
      <c r="Y47" s="260"/>
      <c r="Z47" s="260"/>
      <c r="AA47" s="260"/>
      <c r="AB47" s="260"/>
      <c r="AC47" s="260"/>
      <c r="AD47" s="260"/>
      <c r="AE47" s="264"/>
      <c r="AF47" s="264"/>
      <c r="AG47" s="260"/>
      <c r="AH47" s="260"/>
      <c r="AI47" s="264"/>
      <c r="AJ47" s="260"/>
      <c r="AK47" s="260"/>
      <c r="AL47" s="260"/>
      <c r="AM47" s="260"/>
      <c r="AN47" s="264"/>
      <c r="AO47" s="265"/>
      <c r="AP47" s="264"/>
      <c r="AQ47" s="370" t="s">
        <v>89</v>
      </c>
      <c r="AR47" s="262" t="s">
        <v>153</v>
      </c>
      <c r="AS47" s="262"/>
      <c r="AT47" s="262"/>
      <c r="AU47" s="262"/>
      <c r="AV47" s="262"/>
      <c r="AW47" s="262"/>
      <c r="AX47" s="262"/>
      <c r="AY47" s="262"/>
      <c r="AZ47" s="262" t="s">
        <v>869</v>
      </c>
      <c r="BA47" s="260"/>
      <c r="BB47" s="262">
        <v>0</v>
      </c>
      <c r="BC47" s="262">
        <v>0</v>
      </c>
      <c r="BD47" s="262">
        <v>0</v>
      </c>
      <c r="BE47" s="262">
        <v>0</v>
      </c>
      <c r="BF47" s="262">
        <v>0</v>
      </c>
      <c r="BG47" s="262">
        <v>0</v>
      </c>
      <c r="BH47" s="262">
        <v>0</v>
      </c>
      <c r="BI47" s="262">
        <v>0</v>
      </c>
      <c r="BJ47" s="262">
        <v>0</v>
      </c>
      <c r="BK47" s="262">
        <v>0</v>
      </c>
      <c r="BL47" s="262"/>
      <c r="BM47" s="262"/>
      <c r="BN47" s="262"/>
      <c r="BO47" s="262" t="s">
        <v>153</v>
      </c>
      <c r="BP47" s="371"/>
      <c r="BQ47" s="262"/>
      <c r="BR47" s="262"/>
      <c r="BS47" s="266"/>
      <c r="BT47" s="266"/>
      <c r="BU47" s="262"/>
      <c r="BV47" s="262" t="s">
        <v>153</v>
      </c>
      <c r="BW47" s="262">
        <v>1</v>
      </c>
      <c r="BX47" s="260"/>
      <c r="BY47" s="260" t="s">
        <v>961</v>
      </c>
    </row>
    <row r="48" spans="1:77" x14ac:dyDescent="0.15">
      <c r="A48" s="260">
        <v>2101</v>
      </c>
      <c r="B48" s="390">
        <v>43750</v>
      </c>
      <c r="C48" s="261" t="s">
        <v>755</v>
      </c>
      <c r="D48" s="260" t="s">
        <v>454</v>
      </c>
      <c r="E48" s="260">
        <v>1</v>
      </c>
      <c r="F48" s="260" t="s">
        <v>507</v>
      </c>
      <c r="G48" s="267">
        <v>43669</v>
      </c>
      <c r="H48" s="262" t="s">
        <v>175</v>
      </c>
      <c r="I48" s="262" t="s">
        <v>174</v>
      </c>
      <c r="J48" s="262">
        <v>12</v>
      </c>
      <c r="K48" s="260" t="s">
        <v>794</v>
      </c>
      <c r="L48" s="260" t="s">
        <v>734</v>
      </c>
      <c r="M48" s="369">
        <v>112.85454545454544</v>
      </c>
      <c r="N48" s="369">
        <v>51.963636363636354</v>
      </c>
      <c r="O48" s="260"/>
      <c r="P48" s="263"/>
      <c r="Q48" s="264"/>
      <c r="R48" s="263"/>
      <c r="S48" s="264"/>
      <c r="T48" s="263"/>
      <c r="U48" s="260"/>
      <c r="V48" s="264"/>
      <c r="W48" s="369">
        <v>35.390909090909091</v>
      </c>
      <c r="X48" s="260"/>
      <c r="Y48" s="260"/>
      <c r="Z48" s="260"/>
      <c r="AA48" s="260"/>
      <c r="AB48" s="260"/>
      <c r="AC48" s="260"/>
      <c r="AD48" s="260"/>
      <c r="AE48" s="264"/>
      <c r="AF48" s="264"/>
      <c r="AG48" s="263"/>
      <c r="AH48" s="260"/>
      <c r="AI48" s="264"/>
      <c r="AJ48" s="260"/>
      <c r="AK48" s="260"/>
      <c r="AL48" s="260"/>
      <c r="AM48" s="260"/>
      <c r="AN48" s="264"/>
      <c r="AO48" s="265"/>
      <c r="AP48" s="264"/>
      <c r="AQ48" s="370" t="s">
        <v>838</v>
      </c>
      <c r="AR48" s="262" t="s">
        <v>758</v>
      </c>
      <c r="AS48" s="262"/>
      <c r="AT48" s="262"/>
      <c r="AU48" s="262">
        <v>5.5</v>
      </c>
      <c r="AV48" s="262"/>
      <c r="AW48" s="262"/>
      <c r="AX48" s="262"/>
      <c r="AY48" s="262"/>
      <c r="AZ48" s="262" t="s">
        <v>361</v>
      </c>
      <c r="BA48" s="260"/>
      <c r="BB48" s="262">
        <v>0</v>
      </c>
      <c r="BC48" s="262">
        <v>0</v>
      </c>
      <c r="BD48" s="262">
        <v>0</v>
      </c>
      <c r="BE48" s="262">
        <v>0</v>
      </c>
      <c r="BF48" s="262">
        <v>0</v>
      </c>
      <c r="BG48" s="262">
        <v>0</v>
      </c>
      <c r="BH48" s="262">
        <v>0</v>
      </c>
      <c r="BI48" s="262">
        <v>0</v>
      </c>
      <c r="BJ48" s="262">
        <v>0</v>
      </c>
      <c r="BK48" s="262">
        <v>0</v>
      </c>
      <c r="BL48" s="262"/>
      <c r="BM48" s="262"/>
      <c r="BN48" s="262"/>
      <c r="BO48" s="262" t="s">
        <v>758</v>
      </c>
      <c r="BP48" s="371"/>
      <c r="BQ48" s="262"/>
      <c r="BR48" s="262"/>
      <c r="BS48" s="266"/>
      <c r="BT48" s="266"/>
      <c r="BU48" s="262"/>
      <c r="BV48" s="262" t="s">
        <v>174</v>
      </c>
      <c r="BW48" s="262"/>
      <c r="BX48" s="266"/>
      <c r="BY48" s="260" t="s">
        <v>963</v>
      </c>
    </row>
    <row r="49" spans="1:77" x14ac:dyDescent="0.15">
      <c r="A49" s="260">
        <v>516</v>
      </c>
      <c r="B49" s="390">
        <v>43750</v>
      </c>
      <c r="C49" s="261" t="s">
        <v>191</v>
      </c>
      <c r="D49" s="260" t="s">
        <v>454</v>
      </c>
      <c r="E49" s="260">
        <v>1</v>
      </c>
      <c r="F49" s="260" t="s">
        <v>507</v>
      </c>
      <c r="G49" s="267">
        <v>43655</v>
      </c>
      <c r="H49" s="262" t="s">
        <v>150</v>
      </c>
      <c r="I49" s="262" t="s">
        <v>153</v>
      </c>
      <c r="J49" s="262">
        <v>13</v>
      </c>
      <c r="K49" s="260" t="s">
        <v>881</v>
      </c>
      <c r="L49" s="260" t="s">
        <v>916</v>
      </c>
      <c r="M49" s="369">
        <v>150</v>
      </c>
      <c r="N49" s="369">
        <v>59.999999999999993</v>
      </c>
      <c r="O49" s="260"/>
      <c r="P49" s="263"/>
      <c r="Q49" s="264"/>
      <c r="R49" s="263"/>
      <c r="S49" s="264"/>
      <c r="T49" s="263"/>
      <c r="U49" s="260"/>
      <c r="V49" s="264"/>
      <c r="W49" s="369">
        <v>49.999999999999993</v>
      </c>
      <c r="X49" s="260"/>
      <c r="Y49" s="260"/>
      <c r="Z49" s="260"/>
      <c r="AA49" s="260"/>
      <c r="AB49" s="260"/>
      <c r="AC49" s="260"/>
      <c r="AD49" s="260"/>
      <c r="AE49" s="264"/>
      <c r="AF49" s="264"/>
      <c r="AG49" s="260"/>
      <c r="AH49" s="260"/>
      <c r="AI49" s="264"/>
      <c r="AJ49" s="260"/>
      <c r="AK49" s="260"/>
      <c r="AL49" s="260"/>
      <c r="AM49" s="260"/>
      <c r="AN49" s="264"/>
      <c r="AO49" s="265"/>
      <c r="AP49" s="264"/>
      <c r="AQ49" s="370" t="s">
        <v>89</v>
      </c>
      <c r="AR49" s="262" t="s">
        <v>153</v>
      </c>
      <c r="AS49" s="262"/>
      <c r="AT49" s="262"/>
      <c r="AU49" s="262">
        <v>1</v>
      </c>
      <c r="AV49" s="262"/>
      <c r="AW49" s="262"/>
      <c r="AX49" s="262"/>
      <c r="AY49" s="262"/>
      <c r="AZ49" s="262" t="s">
        <v>153</v>
      </c>
      <c r="BA49" s="260"/>
      <c r="BB49" s="262">
        <v>0</v>
      </c>
      <c r="BC49" s="262">
        <v>0</v>
      </c>
      <c r="BD49" s="262">
        <v>0</v>
      </c>
      <c r="BE49" s="262">
        <v>0</v>
      </c>
      <c r="BF49" s="262">
        <v>0</v>
      </c>
      <c r="BG49" s="262">
        <v>0</v>
      </c>
      <c r="BH49" s="262">
        <v>0</v>
      </c>
      <c r="BI49" s="262">
        <v>0</v>
      </c>
      <c r="BJ49" s="262">
        <v>0</v>
      </c>
      <c r="BK49" s="262">
        <v>0</v>
      </c>
      <c r="BL49" s="262"/>
      <c r="BM49" s="262"/>
      <c r="BN49" s="262"/>
      <c r="BO49" s="262" t="s">
        <v>153</v>
      </c>
      <c r="BP49" s="371"/>
      <c r="BQ49" s="262"/>
      <c r="BR49" s="262"/>
      <c r="BS49" s="266"/>
      <c r="BT49" s="266"/>
      <c r="BU49" s="262"/>
      <c r="BV49" s="262" t="s">
        <v>153</v>
      </c>
      <c r="BW49" s="262">
        <v>1</v>
      </c>
      <c r="BX49" s="260"/>
      <c r="BY49" s="260" t="s">
        <v>966</v>
      </c>
    </row>
    <row r="50" spans="1:77" x14ac:dyDescent="0.15">
      <c r="A50" s="260">
        <v>2221</v>
      </c>
      <c r="B50" s="390">
        <v>43750</v>
      </c>
      <c r="C50" s="261" t="s">
        <v>453</v>
      </c>
      <c r="D50" s="260" t="s">
        <v>454</v>
      </c>
      <c r="E50" s="260">
        <v>1</v>
      </c>
      <c r="F50" s="260" t="s">
        <v>507</v>
      </c>
      <c r="G50" s="270">
        <v>43704</v>
      </c>
      <c r="H50" s="262" t="s">
        <v>456</v>
      </c>
      <c r="I50" s="262" t="s">
        <v>457</v>
      </c>
      <c r="J50" s="262">
        <v>16</v>
      </c>
      <c r="K50" s="260" t="s">
        <v>303</v>
      </c>
      <c r="L50" s="260" t="s">
        <v>919</v>
      </c>
      <c r="M50" s="369">
        <v>225.89999999999998</v>
      </c>
      <c r="N50" s="369">
        <v>45.8</v>
      </c>
      <c r="O50" s="260"/>
      <c r="P50" s="263"/>
      <c r="Q50" s="264"/>
      <c r="R50" s="263"/>
      <c r="S50" s="264"/>
      <c r="T50" s="263"/>
      <c r="U50" s="260"/>
      <c r="V50" s="264"/>
      <c r="W50" s="369">
        <v>36.299999999999997</v>
      </c>
      <c r="X50" s="263"/>
      <c r="Y50" s="260"/>
      <c r="Z50" s="263"/>
      <c r="AA50" s="260"/>
      <c r="AB50" s="263"/>
      <c r="AC50" s="260"/>
      <c r="AD50" s="260"/>
      <c r="AE50" s="264"/>
      <c r="AF50" s="264"/>
      <c r="AG50" s="263"/>
      <c r="AH50" s="260"/>
      <c r="AI50" s="264"/>
      <c r="AJ50" s="260"/>
      <c r="AK50" s="260"/>
      <c r="AL50" s="260"/>
      <c r="AM50" s="260"/>
      <c r="AN50" s="264"/>
      <c r="AO50" s="265"/>
      <c r="AP50" s="264"/>
      <c r="AQ50" s="370" t="s">
        <v>508</v>
      </c>
      <c r="AR50" s="262" t="s">
        <v>457</v>
      </c>
      <c r="AS50" s="262"/>
      <c r="AT50" s="262"/>
      <c r="AU50" s="262">
        <v>3.5</v>
      </c>
      <c r="AV50" s="262"/>
      <c r="AW50" s="262"/>
      <c r="AX50" s="262"/>
      <c r="AY50" s="262"/>
      <c r="AZ50" s="262" t="s">
        <v>462</v>
      </c>
      <c r="BA50" s="260"/>
      <c r="BB50" s="262">
        <v>0</v>
      </c>
      <c r="BC50" s="262">
        <v>0</v>
      </c>
      <c r="BD50" s="262">
        <v>0</v>
      </c>
      <c r="BE50" s="262">
        <v>0</v>
      </c>
      <c r="BF50" s="262">
        <v>0</v>
      </c>
      <c r="BG50" s="262">
        <v>0</v>
      </c>
      <c r="BH50" s="262">
        <v>0</v>
      </c>
      <c r="BI50" s="262">
        <v>0</v>
      </c>
      <c r="BJ50" s="262">
        <v>0</v>
      </c>
      <c r="BK50" s="262">
        <v>0</v>
      </c>
      <c r="BL50" s="262"/>
      <c r="BM50" s="262"/>
      <c r="BN50" s="262"/>
      <c r="BO50" s="262" t="s">
        <v>457</v>
      </c>
      <c r="BP50" s="371"/>
      <c r="BQ50" s="262"/>
      <c r="BR50" s="262"/>
      <c r="BS50" s="260"/>
      <c r="BT50" s="260"/>
      <c r="BU50" s="262"/>
      <c r="BV50" s="262" t="s">
        <v>457</v>
      </c>
      <c r="BW50" s="262"/>
      <c r="BX50" s="260"/>
      <c r="BY50" s="260" t="s">
        <v>972</v>
      </c>
    </row>
    <row r="51" spans="1:77" x14ac:dyDescent="0.15">
      <c r="A51" s="260">
        <v>3</v>
      </c>
      <c r="B51" s="390">
        <v>43750</v>
      </c>
      <c r="C51" s="261" t="s">
        <v>453</v>
      </c>
      <c r="D51" s="260" t="s">
        <v>454</v>
      </c>
      <c r="E51" s="260">
        <v>1</v>
      </c>
      <c r="F51" s="260" t="s">
        <v>507</v>
      </c>
      <c r="G51" s="270">
        <v>43721</v>
      </c>
      <c r="H51" s="262" t="s">
        <v>456</v>
      </c>
      <c r="I51" s="262" t="s">
        <v>457</v>
      </c>
      <c r="J51" s="262">
        <v>17</v>
      </c>
      <c r="K51" s="260" t="s">
        <v>805</v>
      </c>
      <c r="L51" s="260" t="s">
        <v>806</v>
      </c>
      <c r="M51" s="369">
        <v>96.22727272727272</v>
      </c>
      <c r="N51" s="369">
        <v>48.209090909090904</v>
      </c>
      <c r="O51" s="260"/>
      <c r="P51" s="263"/>
      <c r="Q51" s="264"/>
      <c r="R51" s="263"/>
      <c r="S51" s="264"/>
      <c r="T51" s="263"/>
      <c r="U51" s="260"/>
      <c r="V51" s="264"/>
      <c r="W51" s="369">
        <v>36.736363636363627</v>
      </c>
      <c r="X51" s="263"/>
      <c r="Y51" s="260"/>
      <c r="Z51" s="263"/>
      <c r="AA51" s="260"/>
      <c r="AB51" s="263"/>
      <c r="AC51" s="260"/>
      <c r="AD51" s="260"/>
      <c r="AE51" s="264"/>
      <c r="AF51" s="264"/>
      <c r="AG51" s="263"/>
      <c r="AH51" s="260"/>
      <c r="AI51" s="264"/>
      <c r="AJ51" s="260"/>
      <c r="AK51" s="260"/>
      <c r="AL51" s="260"/>
      <c r="AM51" s="260"/>
      <c r="AN51" s="264"/>
      <c r="AO51" s="265"/>
      <c r="AP51" s="264"/>
      <c r="AQ51" s="370" t="s">
        <v>508</v>
      </c>
      <c r="AR51" s="262" t="s">
        <v>457</v>
      </c>
      <c r="AS51" s="262"/>
      <c r="AT51" s="262"/>
      <c r="AU51" s="262">
        <v>7</v>
      </c>
      <c r="AV51" s="262"/>
      <c r="AW51" s="262"/>
      <c r="AX51" s="262"/>
      <c r="AY51" s="262"/>
      <c r="AZ51" s="262" t="s">
        <v>457</v>
      </c>
      <c r="BA51" s="260"/>
      <c r="BB51" s="262">
        <v>0</v>
      </c>
      <c r="BC51" s="262">
        <v>0</v>
      </c>
      <c r="BD51" s="262">
        <v>0</v>
      </c>
      <c r="BE51" s="262">
        <v>0</v>
      </c>
      <c r="BF51" s="262">
        <v>0</v>
      </c>
      <c r="BG51" s="262">
        <v>0</v>
      </c>
      <c r="BH51" s="262">
        <v>0</v>
      </c>
      <c r="BI51" s="262">
        <v>0</v>
      </c>
      <c r="BJ51" s="262">
        <v>0</v>
      </c>
      <c r="BK51" s="262">
        <v>0</v>
      </c>
      <c r="BL51" s="262"/>
      <c r="BM51" s="262"/>
      <c r="BN51" s="262"/>
      <c r="BO51" s="262" t="s">
        <v>457</v>
      </c>
      <c r="BP51" s="371"/>
      <c r="BQ51" s="262"/>
      <c r="BR51" s="262"/>
      <c r="BS51" s="260"/>
      <c r="BT51" s="260"/>
      <c r="BU51" s="262"/>
      <c r="BV51" s="262" t="s">
        <v>457</v>
      </c>
      <c r="BW51" s="262"/>
      <c r="BX51" s="260"/>
      <c r="BY51" s="260" t="s">
        <v>975</v>
      </c>
    </row>
    <row r="52" spans="1:77" x14ac:dyDescent="0.15">
      <c r="A52" s="260" t="s">
        <v>976</v>
      </c>
      <c r="B52" s="390">
        <v>43750</v>
      </c>
      <c r="C52" s="261" t="s">
        <v>453</v>
      </c>
      <c r="D52" s="260" t="s">
        <v>454</v>
      </c>
      <c r="E52" s="260">
        <v>1</v>
      </c>
      <c r="F52" s="260" t="s">
        <v>507</v>
      </c>
      <c r="G52" s="270">
        <v>43646</v>
      </c>
      <c r="H52" s="262" t="s">
        <v>456</v>
      </c>
      <c r="I52" s="262" t="s">
        <v>457</v>
      </c>
      <c r="J52" s="262">
        <v>17</v>
      </c>
      <c r="K52" s="260" t="s">
        <v>977</v>
      </c>
      <c r="L52" s="260" t="s">
        <v>978</v>
      </c>
      <c r="M52" s="369">
        <v>169.5181818181818</v>
      </c>
      <c r="N52" s="369">
        <v>43.172727272727272</v>
      </c>
      <c r="O52" s="260"/>
      <c r="P52" s="263"/>
      <c r="Q52" s="264"/>
      <c r="R52" s="263"/>
      <c r="S52" s="264"/>
      <c r="T52" s="263"/>
      <c r="U52" s="260"/>
      <c r="V52" s="264"/>
      <c r="W52" s="369">
        <v>25.818181818181817</v>
      </c>
      <c r="X52" s="263"/>
      <c r="Y52" s="260"/>
      <c r="Z52" s="263"/>
      <c r="AA52" s="260"/>
      <c r="AB52" s="263"/>
      <c r="AC52" s="260"/>
      <c r="AD52" s="260"/>
      <c r="AE52" s="264"/>
      <c r="AF52" s="264"/>
      <c r="AG52" s="263"/>
      <c r="AH52" s="260"/>
      <c r="AI52" s="264"/>
      <c r="AJ52" s="260"/>
      <c r="AK52" s="260"/>
      <c r="AL52" s="260"/>
      <c r="AM52" s="260"/>
      <c r="AN52" s="264"/>
      <c r="AO52" s="265"/>
      <c r="AP52" s="264"/>
      <c r="AQ52" s="370" t="s">
        <v>508</v>
      </c>
      <c r="AR52" s="262" t="s">
        <v>457</v>
      </c>
      <c r="AS52" s="262"/>
      <c r="AT52" s="262"/>
      <c r="AU52" s="262">
        <v>5</v>
      </c>
      <c r="AV52" s="262"/>
      <c r="AW52" s="262"/>
      <c r="AX52" s="262"/>
      <c r="AY52" s="262"/>
      <c r="AZ52" s="262" t="s">
        <v>457</v>
      </c>
      <c r="BA52" s="260"/>
      <c r="BB52" s="262">
        <v>0</v>
      </c>
      <c r="BC52" s="262">
        <v>0</v>
      </c>
      <c r="BD52" s="262">
        <v>0</v>
      </c>
      <c r="BE52" s="262">
        <v>0</v>
      </c>
      <c r="BF52" s="262">
        <v>0</v>
      </c>
      <c r="BG52" s="262">
        <v>0</v>
      </c>
      <c r="BH52" s="262">
        <v>0</v>
      </c>
      <c r="BI52" s="262">
        <v>0</v>
      </c>
      <c r="BJ52" s="262">
        <v>0</v>
      </c>
      <c r="BK52" s="262">
        <v>0</v>
      </c>
      <c r="BL52" s="262">
        <v>12</v>
      </c>
      <c r="BM52" s="262"/>
      <c r="BN52" s="262">
        <v>12</v>
      </c>
      <c r="BO52" s="262" t="s">
        <v>457</v>
      </c>
      <c r="BP52" s="371"/>
      <c r="BQ52" s="262">
        <v>12</v>
      </c>
      <c r="BR52" s="262"/>
      <c r="BS52" s="260"/>
      <c r="BT52" s="260"/>
      <c r="BU52" s="262"/>
      <c r="BV52" s="262" t="s">
        <v>457</v>
      </c>
      <c r="BW52" s="262">
        <v>1</v>
      </c>
      <c r="BX52" s="260"/>
      <c r="BY52" s="260" t="s">
        <v>980</v>
      </c>
    </row>
  </sheetData>
  <sheetProtection algorithmName="SHA-512" hashValue="YVi0UR+ZGf+L5Sid2IouW67dDKuV/nWbxQRnG4E6YGIUFVOPzyTluHXF7fXr12N7egr3pCS0uIj9NLcFivOsSg==" saltValue="SRZJeuOO+DK5vkWA3WJzvA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ABABA-0039-A149-BC0B-137488BFEDFD}">
  <sheetPr codeName="Sheet28"/>
  <dimension ref="A1:BY50"/>
  <sheetViews>
    <sheetView zoomScaleNormal="100" zoomScalePageLayoutView="125" workbookViewId="0">
      <pane ySplit="1" topLeftCell="A2" activePane="bottomLeft" state="frozen"/>
      <selection activeCell="A53" sqref="A53:XFD104"/>
      <selection pane="bottomLeft" activeCell="A53" sqref="A53:XFD104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260">
        <v>1915</v>
      </c>
      <c r="B2" s="270">
        <v>43565</v>
      </c>
      <c r="C2" s="261" t="s">
        <v>755</v>
      </c>
      <c r="D2" s="260" t="s">
        <v>454</v>
      </c>
      <c r="E2" s="260">
        <v>1</v>
      </c>
      <c r="F2" s="260" t="s">
        <v>756</v>
      </c>
      <c r="G2" s="270">
        <v>43465</v>
      </c>
      <c r="H2" s="262" t="s">
        <v>757</v>
      </c>
      <c r="I2" s="262" t="s">
        <v>758</v>
      </c>
      <c r="J2" s="262">
        <v>1</v>
      </c>
      <c r="K2" s="260" t="s">
        <v>759</v>
      </c>
      <c r="L2" s="260" t="s">
        <v>760</v>
      </c>
      <c r="M2" s="369">
        <v>99.463636363636354</v>
      </c>
      <c r="N2" s="369">
        <v>34.318181818181813</v>
      </c>
      <c r="O2" s="260"/>
      <c r="P2" s="263"/>
      <c r="Q2" s="264"/>
      <c r="R2" s="263"/>
      <c r="S2" s="264"/>
      <c r="T2" s="263"/>
      <c r="U2" s="260"/>
      <c r="V2" s="264"/>
      <c r="W2" s="264"/>
      <c r="X2" s="260"/>
      <c r="Y2" s="260"/>
      <c r="Z2" s="260"/>
      <c r="AA2" s="260"/>
      <c r="AB2" s="263"/>
      <c r="AC2" s="260"/>
      <c r="AD2" s="260"/>
      <c r="AE2" s="264"/>
      <c r="AF2" s="264"/>
      <c r="AG2" s="263"/>
      <c r="AH2" s="260"/>
      <c r="AI2" s="264"/>
      <c r="AJ2" s="260"/>
      <c r="AK2" s="260"/>
      <c r="AL2" s="260"/>
      <c r="AM2" s="260"/>
      <c r="AN2" s="264"/>
      <c r="AO2" s="265"/>
      <c r="AP2" s="264"/>
      <c r="AQ2" s="260" t="s">
        <v>761</v>
      </c>
      <c r="AR2" s="262" t="s">
        <v>174</v>
      </c>
      <c r="AS2" s="262"/>
      <c r="AT2" s="262"/>
      <c r="AU2" s="262">
        <v>5</v>
      </c>
      <c r="AV2" s="262"/>
      <c r="AW2" s="262"/>
      <c r="AX2" s="262"/>
      <c r="AY2" s="262"/>
      <c r="AZ2" s="262" t="s">
        <v>762</v>
      </c>
      <c r="BA2" s="260"/>
      <c r="BB2" s="262">
        <v>0</v>
      </c>
      <c r="BC2" s="262">
        <v>0</v>
      </c>
      <c r="BD2" s="262">
        <v>0</v>
      </c>
      <c r="BE2" s="262">
        <v>0</v>
      </c>
      <c r="BF2" s="262">
        <v>0</v>
      </c>
      <c r="BG2" s="262">
        <v>0</v>
      </c>
      <c r="BH2" s="262">
        <v>0</v>
      </c>
      <c r="BI2" s="262">
        <v>0</v>
      </c>
      <c r="BJ2" s="262">
        <v>0</v>
      </c>
      <c r="BK2" s="262">
        <v>0</v>
      </c>
      <c r="BL2" s="262"/>
      <c r="BM2" s="262"/>
      <c r="BN2" s="262">
        <v>12</v>
      </c>
      <c r="BO2" s="262" t="s">
        <v>758</v>
      </c>
      <c r="BP2" s="371"/>
      <c r="BQ2" s="262"/>
      <c r="BR2" s="262"/>
      <c r="BS2" s="260"/>
      <c r="BT2" s="260"/>
      <c r="BU2" s="262"/>
      <c r="BV2" s="262" t="s">
        <v>758</v>
      </c>
      <c r="BW2" s="262"/>
      <c r="BX2" s="260" t="s">
        <v>763</v>
      </c>
      <c r="BY2" s="266" t="s">
        <v>909</v>
      </c>
    </row>
    <row r="3" spans="1:77" x14ac:dyDescent="0.15">
      <c r="A3" s="260">
        <v>168</v>
      </c>
      <c r="B3" s="270">
        <v>43565</v>
      </c>
      <c r="C3" s="261" t="s">
        <v>755</v>
      </c>
      <c r="D3" s="260" t="s">
        <v>454</v>
      </c>
      <c r="E3" s="260">
        <v>1</v>
      </c>
      <c r="F3" s="260" t="s">
        <v>756</v>
      </c>
      <c r="G3" s="267">
        <v>43343</v>
      </c>
      <c r="H3" s="262" t="s">
        <v>175</v>
      </c>
      <c r="I3" s="262" t="s">
        <v>174</v>
      </c>
      <c r="J3" s="262">
        <v>2</v>
      </c>
      <c r="K3" s="260" t="s">
        <v>765</v>
      </c>
      <c r="L3" s="260" t="s">
        <v>766</v>
      </c>
      <c r="M3" s="369">
        <v>93.018181818181802</v>
      </c>
      <c r="N3" s="369">
        <v>34.136363636363633</v>
      </c>
      <c r="O3" s="260"/>
      <c r="P3" s="263"/>
      <c r="Q3" s="264"/>
      <c r="R3" s="263"/>
      <c r="S3" s="264"/>
      <c r="T3" s="263"/>
      <c r="U3" s="260"/>
      <c r="V3" s="264"/>
      <c r="W3" s="264"/>
      <c r="X3" s="260"/>
      <c r="Y3" s="260"/>
      <c r="Z3" s="260"/>
      <c r="AA3" s="260"/>
      <c r="AB3" s="260"/>
      <c r="AC3" s="260"/>
      <c r="AD3" s="260"/>
      <c r="AE3" s="264"/>
      <c r="AF3" s="264"/>
      <c r="AG3" s="263"/>
      <c r="AH3" s="260"/>
      <c r="AI3" s="264"/>
      <c r="AJ3" s="260"/>
      <c r="AK3" s="260"/>
      <c r="AL3" s="260"/>
      <c r="AM3" s="260"/>
      <c r="AN3" s="264"/>
      <c r="AO3" s="265"/>
      <c r="AP3" s="264"/>
      <c r="AQ3" s="370" t="s">
        <v>761</v>
      </c>
      <c r="AR3" s="262" t="s">
        <v>758</v>
      </c>
      <c r="AS3" s="262"/>
      <c r="AT3" s="262"/>
      <c r="AU3" s="262">
        <v>8</v>
      </c>
      <c r="AV3" s="262"/>
      <c r="AW3" s="262"/>
      <c r="AX3" s="262"/>
      <c r="AY3" s="262"/>
      <c r="AZ3" s="262" t="s">
        <v>758</v>
      </c>
      <c r="BA3" s="260"/>
      <c r="BB3" s="262">
        <v>0</v>
      </c>
      <c r="BC3" s="262">
        <v>0</v>
      </c>
      <c r="BD3" s="262">
        <v>0</v>
      </c>
      <c r="BE3" s="262">
        <v>0</v>
      </c>
      <c r="BF3" s="262">
        <v>0</v>
      </c>
      <c r="BG3" s="262">
        <v>0</v>
      </c>
      <c r="BH3" s="262">
        <v>0</v>
      </c>
      <c r="BI3" s="262">
        <v>0</v>
      </c>
      <c r="BJ3" s="262">
        <v>0</v>
      </c>
      <c r="BK3" s="262">
        <v>0</v>
      </c>
      <c r="BL3" s="262"/>
      <c r="BM3" s="262"/>
      <c r="BN3" s="262"/>
      <c r="BO3" s="262" t="s">
        <v>758</v>
      </c>
      <c r="BP3" s="371"/>
      <c r="BQ3" s="262"/>
      <c r="BR3" s="262"/>
      <c r="BS3" s="260"/>
      <c r="BT3" s="260"/>
      <c r="BU3" s="262"/>
      <c r="BV3" s="262" t="s">
        <v>758</v>
      </c>
      <c r="BW3" s="262">
        <v>1</v>
      </c>
      <c r="BX3" s="260"/>
      <c r="BY3" s="260" t="s">
        <v>857</v>
      </c>
    </row>
    <row r="4" spans="1:77" x14ac:dyDescent="0.15">
      <c r="A4" s="260">
        <v>432</v>
      </c>
      <c r="B4" s="270">
        <v>43565</v>
      </c>
      <c r="C4" s="261" t="s">
        <v>315</v>
      </c>
      <c r="D4" s="260" t="s">
        <v>454</v>
      </c>
      <c r="E4" s="260">
        <v>1</v>
      </c>
      <c r="F4" s="260" t="s">
        <v>317</v>
      </c>
      <c r="G4" s="270">
        <v>43281</v>
      </c>
      <c r="H4" s="262" t="s">
        <v>334</v>
      </c>
      <c r="I4" s="262" t="s">
        <v>318</v>
      </c>
      <c r="J4" s="262">
        <v>3</v>
      </c>
      <c r="K4" s="260" t="s">
        <v>341</v>
      </c>
      <c r="L4" s="260" t="s">
        <v>858</v>
      </c>
      <c r="M4" s="369">
        <v>92.999999999999986</v>
      </c>
      <c r="N4" s="369">
        <v>36.154545454545456</v>
      </c>
      <c r="O4" s="260" t="s">
        <v>518</v>
      </c>
      <c r="P4" s="260">
        <v>1000</v>
      </c>
      <c r="Q4" s="369">
        <v>38.999999999999993</v>
      </c>
      <c r="R4" s="263"/>
      <c r="S4" s="264"/>
      <c r="T4" s="260"/>
      <c r="U4" s="260"/>
      <c r="V4" s="264"/>
      <c r="W4" s="264"/>
      <c r="X4" s="260"/>
      <c r="Y4" s="260"/>
      <c r="Z4" s="260"/>
      <c r="AA4" s="260"/>
      <c r="AB4" s="260"/>
      <c r="AC4" s="260"/>
      <c r="AD4" s="260"/>
      <c r="AE4" s="264"/>
      <c r="AF4" s="264"/>
      <c r="AG4" s="263"/>
      <c r="AH4" s="260"/>
      <c r="AI4" s="264"/>
      <c r="AJ4" s="260"/>
      <c r="AK4" s="260"/>
      <c r="AL4" s="260"/>
      <c r="AM4" s="260"/>
      <c r="AN4" s="264"/>
      <c r="AO4" s="265"/>
      <c r="AP4" s="264"/>
      <c r="AQ4" s="260" t="s">
        <v>322</v>
      </c>
      <c r="AR4" s="262" t="s">
        <v>318</v>
      </c>
      <c r="AS4" s="262"/>
      <c r="AT4" s="262"/>
      <c r="AU4" s="262">
        <v>5.2</v>
      </c>
      <c r="AV4" s="262"/>
      <c r="AW4" s="262"/>
      <c r="AX4" s="262"/>
      <c r="AY4" s="262"/>
      <c r="AZ4" s="262" t="s">
        <v>323</v>
      </c>
      <c r="BA4" s="260"/>
      <c r="BB4" s="262">
        <v>0</v>
      </c>
      <c r="BC4" s="262">
        <v>0</v>
      </c>
      <c r="BD4" s="262">
        <v>2</v>
      </c>
      <c r="BE4" s="262">
        <v>0</v>
      </c>
      <c r="BF4" s="262">
        <v>0</v>
      </c>
      <c r="BG4" s="262">
        <v>0</v>
      </c>
      <c r="BH4" s="262">
        <v>0</v>
      </c>
      <c r="BI4" s="262">
        <v>0</v>
      </c>
      <c r="BJ4" s="262">
        <v>0</v>
      </c>
      <c r="BK4" s="262">
        <v>0</v>
      </c>
      <c r="BL4" s="262"/>
      <c r="BM4" s="262"/>
      <c r="BN4" s="262"/>
      <c r="BO4" s="262" t="s">
        <v>318</v>
      </c>
      <c r="BP4" s="371"/>
      <c r="BQ4" s="262"/>
      <c r="BR4" s="262"/>
      <c r="BS4" s="260"/>
      <c r="BT4" s="260"/>
      <c r="BU4" s="262"/>
      <c r="BV4" s="262" t="s">
        <v>318</v>
      </c>
      <c r="BW4" s="262"/>
      <c r="BX4" s="260"/>
      <c r="BY4" s="260" t="s">
        <v>627</v>
      </c>
    </row>
    <row r="5" spans="1:77" x14ac:dyDescent="0.15">
      <c r="A5" s="260">
        <v>753</v>
      </c>
      <c r="B5" s="270">
        <v>43565</v>
      </c>
      <c r="C5" s="261" t="s">
        <v>453</v>
      </c>
      <c r="D5" s="260" t="s">
        <v>454</v>
      </c>
      <c r="E5" s="260">
        <v>1</v>
      </c>
      <c r="F5" s="260" t="s">
        <v>455</v>
      </c>
      <c r="G5" s="270">
        <v>43540</v>
      </c>
      <c r="H5" s="262" t="s">
        <v>456</v>
      </c>
      <c r="I5" s="262" t="s">
        <v>457</v>
      </c>
      <c r="J5" s="262">
        <v>4</v>
      </c>
      <c r="K5" s="260" t="s">
        <v>476</v>
      </c>
      <c r="L5" s="260" t="s">
        <v>859</v>
      </c>
      <c r="M5" s="369">
        <v>104.5</v>
      </c>
      <c r="N5" s="369">
        <v>37.445454545454538</v>
      </c>
      <c r="O5" s="260"/>
      <c r="P5" s="263"/>
      <c r="Q5" s="264"/>
      <c r="R5" s="263"/>
      <c r="S5" s="264"/>
      <c r="T5" s="263"/>
      <c r="U5" s="260"/>
      <c r="V5" s="264"/>
      <c r="W5" s="264"/>
      <c r="X5" s="263"/>
      <c r="Y5" s="260"/>
      <c r="Z5" s="263"/>
      <c r="AA5" s="260"/>
      <c r="AB5" s="263"/>
      <c r="AC5" s="260"/>
      <c r="AD5" s="260"/>
      <c r="AE5" s="264"/>
      <c r="AF5" s="264"/>
      <c r="AG5" s="263"/>
      <c r="AH5" s="260"/>
      <c r="AI5" s="264"/>
      <c r="AJ5" s="260"/>
      <c r="AK5" s="260"/>
      <c r="AL5" s="260"/>
      <c r="AM5" s="260"/>
      <c r="AN5" s="264"/>
      <c r="AO5" s="265"/>
      <c r="AP5" s="264"/>
      <c r="AQ5" s="260" t="s">
        <v>460</v>
      </c>
      <c r="AR5" s="262" t="s">
        <v>457</v>
      </c>
      <c r="AS5" s="262"/>
      <c r="AT5" s="262"/>
      <c r="AU5" s="262">
        <v>9.35</v>
      </c>
      <c r="AV5" s="262"/>
      <c r="AW5" s="262"/>
      <c r="AX5" s="262"/>
      <c r="AY5" s="262"/>
      <c r="AZ5" s="262" t="s">
        <v>462</v>
      </c>
      <c r="BA5" s="260"/>
      <c r="BB5" s="262">
        <v>2</v>
      </c>
      <c r="BC5" s="262">
        <v>0</v>
      </c>
      <c r="BD5" s="262">
        <v>0</v>
      </c>
      <c r="BE5" s="262">
        <v>0</v>
      </c>
      <c r="BF5" s="262">
        <v>0</v>
      </c>
      <c r="BG5" s="262">
        <v>0</v>
      </c>
      <c r="BH5" s="262">
        <v>0</v>
      </c>
      <c r="BI5" s="262">
        <v>0</v>
      </c>
      <c r="BJ5" s="262">
        <v>0</v>
      </c>
      <c r="BK5" s="262">
        <v>0</v>
      </c>
      <c r="BL5" s="262"/>
      <c r="BM5" s="262"/>
      <c r="BN5" s="262">
        <v>24</v>
      </c>
      <c r="BO5" s="262" t="s">
        <v>457</v>
      </c>
      <c r="BP5" s="371"/>
      <c r="BQ5" s="262"/>
      <c r="BR5" s="262"/>
      <c r="BS5" s="260"/>
      <c r="BT5" s="260"/>
      <c r="BU5" s="262"/>
      <c r="BV5" s="262" t="s">
        <v>457</v>
      </c>
      <c r="BW5" s="262">
        <v>1</v>
      </c>
      <c r="BX5" s="260"/>
      <c r="BY5" s="260" t="s">
        <v>910</v>
      </c>
    </row>
    <row r="6" spans="1:77" x14ac:dyDescent="0.15">
      <c r="A6" s="260">
        <v>977</v>
      </c>
      <c r="B6" s="270">
        <v>43565</v>
      </c>
      <c r="C6" s="261" t="s">
        <v>861</v>
      </c>
      <c r="D6" s="260" t="s">
        <v>454</v>
      </c>
      <c r="E6" s="260">
        <v>1</v>
      </c>
      <c r="F6" s="260" t="s">
        <v>862</v>
      </c>
      <c r="G6" s="270">
        <v>43526</v>
      </c>
      <c r="H6" s="262" t="s">
        <v>863</v>
      </c>
      <c r="I6" s="262" t="s">
        <v>864</v>
      </c>
      <c r="J6" s="262">
        <v>5</v>
      </c>
      <c r="K6" s="260" t="s">
        <v>302</v>
      </c>
      <c r="L6" s="260" t="s">
        <v>521</v>
      </c>
      <c r="M6" s="369">
        <v>130</v>
      </c>
      <c r="N6" s="369">
        <v>36.354545454545452</v>
      </c>
      <c r="O6" s="260"/>
      <c r="P6" s="263"/>
      <c r="Q6" s="264"/>
      <c r="R6" s="263"/>
      <c r="S6" s="264"/>
      <c r="T6" s="263"/>
      <c r="U6" s="260"/>
      <c r="V6" s="264"/>
      <c r="W6" s="264"/>
      <c r="X6" s="260"/>
      <c r="Y6" s="260"/>
      <c r="Z6" s="260"/>
      <c r="AA6" s="260"/>
      <c r="AB6" s="260"/>
      <c r="AC6" s="260"/>
      <c r="AD6" s="260"/>
      <c r="AE6" s="264"/>
      <c r="AF6" s="264"/>
      <c r="AG6" s="263"/>
      <c r="AH6" s="260"/>
      <c r="AI6" s="264"/>
      <c r="AJ6" s="260"/>
      <c r="AK6" s="260"/>
      <c r="AL6" s="260"/>
      <c r="AM6" s="260"/>
      <c r="AN6" s="264"/>
      <c r="AO6" s="265"/>
      <c r="AP6" s="264"/>
      <c r="AQ6" s="260" t="s">
        <v>865</v>
      </c>
      <c r="AR6" s="262" t="s">
        <v>864</v>
      </c>
      <c r="AS6" s="262"/>
      <c r="AT6" s="262"/>
      <c r="AU6" s="262">
        <v>3</v>
      </c>
      <c r="AV6" s="262"/>
      <c r="AW6" s="262"/>
      <c r="AX6" s="262"/>
      <c r="AY6" s="262"/>
      <c r="AZ6" s="262" t="s">
        <v>361</v>
      </c>
      <c r="BA6" s="260"/>
      <c r="BB6" s="262">
        <v>0</v>
      </c>
      <c r="BC6" s="262">
        <v>0</v>
      </c>
      <c r="BD6" s="262">
        <v>0</v>
      </c>
      <c r="BE6" s="262">
        <v>0</v>
      </c>
      <c r="BF6" s="262">
        <v>0</v>
      </c>
      <c r="BG6" s="262">
        <v>0</v>
      </c>
      <c r="BH6" s="262">
        <v>0</v>
      </c>
      <c r="BI6" s="262">
        <v>0</v>
      </c>
      <c r="BJ6" s="262">
        <v>0</v>
      </c>
      <c r="BK6" s="262">
        <v>0</v>
      </c>
      <c r="BL6" s="262"/>
      <c r="BM6" s="262"/>
      <c r="BN6" s="262"/>
      <c r="BO6" s="262" t="s">
        <v>864</v>
      </c>
      <c r="BP6" s="371"/>
      <c r="BQ6" s="262"/>
      <c r="BR6" s="262"/>
      <c r="BS6" s="260"/>
      <c r="BT6" s="260"/>
      <c r="BU6" s="262"/>
      <c r="BV6" s="262" t="s">
        <v>864</v>
      </c>
      <c r="BW6" s="262"/>
      <c r="BX6" s="260"/>
      <c r="BY6" s="370" t="s">
        <v>911</v>
      </c>
    </row>
    <row r="7" spans="1:77" x14ac:dyDescent="0.15">
      <c r="A7" s="260">
        <v>1380</v>
      </c>
      <c r="B7" s="270">
        <v>43565</v>
      </c>
      <c r="C7" s="261" t="s">
        <v>755</v>
      </c>
      <c r="D7" s="260" t="s">
        <v>454</v>
      </c>
      <c r="E7" s="260">
        <v>1</v>
      </c>
      <c r="F7" s="260" t="s">
        <v>756</v>
      </c>
      <c r="G7" s="270">
        <v>43446</v>
      </c>
      <c r="H7" s="262" t="s">
        <v>757</v>
      </c>
      <c r="I7" s="262" t="s">
        <v>758</v>
      </c>
      <c r="J7" s="262">
        <v>6</v>
      </c>
      <c r="K7" s="260" t="s">
        <v>773</v>
      </c>
      <c r="L7" s="260" t="s">
        <v>774</v>
      </c>
      <c r="M7" s="369">
        <v>86.454545454545439</v>
      </c>
      <c r="N7" s="369">
        <v>34.381818181818183</v>
      </c>
      <c r="O7" s="260"/>
      <c r="P7" s="263"/>
      <c r="Q7" s="264"/>
      <c r="R7" s="263"/>
      <c r="S7" s="264"/>
      <c r="T7" s="263"/>
      <c r="U7" s="260"/>
      <c r="V7" s="264"/>
      <c r="W7" s="264"/>
      <c r="X7" s="260"/>
      <c r="Y7" s="260"/>
      <c r="Z7" s="263"/>
      <c r="AA7" s="260"/>
      <c r="AB7" s="263"/>
      <c r="AC7" s="260"/>
      <c r="AD7" s="260"/>
      <c r="AE7" s="264"/>
      <c r="AF7" s="264"/>
      <c r="AG7" s="263"/>
      <c r="AH7" s="260"/>
      <c r="AI7" s="264"/>
      <c r="AJ7" s="260"/>
      <c r="AK7" s="260"/>
      <c r="AL7" s="260"/>
      <c r="AM7" s="260"/>
      <c r="AN7" s="264"/>
      <c r="AO7" s="265"/>
      <c r="AP7" s="264"/>
      <c r="AQ7" s="260" t="s">
        <v>761</v>
      </c>
      <c r="AR7" s="262" t="s">
        <v>758</v>
      </c>
      <c r="AS7" s="262"/>
      <c r="AT7" s="262"/>
      <c r="AU7" s="262">
        <v>5</v>
      </c>
      <c r="AV7" s="262"/>
      <c r="AW7" s="262"/>
      <c r="AX7" s="262"/>
      <c r="AY7" s="262"/>
      <c r="AZ7" s="262" t="s">
        <v>762</v>
      </c>
      <c r="BA7" s="260"/>
      <c r="BB7" s="262">
        <v>0</v>
      </c>
      <c r="BC7" s="262">
        <v>0</v>
      </c>
      <c r="BD7" s="262">
        <v>0</v>
      </c>
      <c r="BE7" s="262">
        <v>0</v>
      </c>
      <c r="BF7" s="262">
        <v>0</v>
      </c>
      <c r="BG7" s="262">
        <v>0</v>
      </c>
      <c r="BH7" s="262">
        <v>0</v>
      </c>
      <c r="BI7" s="262">
        <v>0</v>
      </c>
      <c r="BJ7" s="262">
        <v>0</v>
      </c>
      <c r="BK7" s="262">
        <v>0</v>
      </c>
      <c r="BL7" s="262"/>
      <c r="BM7" s="262"/>
      <c r="BN7" s="262">
        <v>12</v>
      </c>
      <c r="BO7" s="262" t="s">
        <v>758</v>
      </c>
      <c r="BP7" s="371"/>
      <c r="BQ7" s="262"/>
      <c r="BR7" s="262"/>
      <c r="BS7" s="260"/>
      <c r="BT7" s="260"/>
      <c r="BU7" s="262"/>
      <c r="BV7" s="262" t="s">
        <v>758</v>
      </c>
      <c r="BW7" s="262"/>
      <c r="BX7" s="260"/>
      <c r="BY7" s="378" t="s">
        <v>912</v>
      </c>
    </row>
    <row r="8" spans="1:77" x14ac:dyDescent="0.15">
      <c r="A8" s="260">
        <v>1714</v>
      </c>
      <c r="B8" s="270">
        <v>43565</v>
      </c>
      <c r="C8" s="261" t="s">
        <v>861</v>
      </c>
      <c r="D8" s="260" t="s">
        <v>454</v>
      </c>
      <c r="E8" s="260">
        <v>1</v>
      </c>
      <c r="F8" s="260" t="s">
        <v>862</v>
      </c>
      <c r="G8" s="270">
        <v>43302</v>
      </c>
      <c r="H8" s="262" t="s">
        <v>863</v>
      </c>
      <c r="I8" s="262" t="s">
        <v>864</v>
      </c>
      <c r="J8" s="262">
        <v>7</v>
      </c>
      <c r="K8" s="260" t="s">
        <v>868</v>
      </c>
      <c r="L8" s="260" t="s">
        <v>525</v>
      </c>
      <c r="M8" s="369">
        <v>130</v>
      </c>
      <c r="N8" s="369">
        <v>36.354545454545452</v>
      </c>
      <c r="O8" s="260"/>
      <c r="P8" s="263"/>
      <c r="Q8" s="264"/>
      <c r="R8" s="263"/>
      <c r="S8" s="264"/>
      <c r="T8" s="260"/>
      <c r="U8" s="260"/>
      <c r="V8" s="264"/>
      <c r="W8" s="264"/>
      <c r="X8" s="260"/>
      <c r="Y8" s="260"/>
      <c r="Z8" s="260"/>
      <c r="AA8" s="260"/>
      <c r="AB8" s="260"/>
      <c r="AC8" s="260"/>
      <c r="AD8" s="260"/>
      <c r="AE8" s="264"/>
      <c r="AF8" s="264"/>
      <c r="AG8" s="263"/>
      <c r="AH8" s="260"/>
      <c r="AI8" s="264"/>
      <c r="AJ8" s="260"/>
      <c r="AK8" s="260"/>
      <c r="AL8" s="260"/>
      <c r="AM8" s="260"/>
      <c r="AN8" s="264"/>
      <c r="AO8" s="265"/>
      <c r="AP8" s="264"/>
      <c r="AQ8" s="260" t="s">
        <v>865</v>
      </c>
      <c r="AR8" s="262" t="s">
        <v>864</v>
      </c>
      <c r="AS8" s="262"/>
      <c r="AT8" s="262"/>
      <c r="AU8" s="262">
        <v>3</v>
      </c>
      <c r="AV8" s="262"/>
      <c r="AW8" s="262"/>
      <c r="AX8" s="262"/>
      <c r="AY8" s="262"/>
      <c r="AZ8" s="262" t="s">
        <v>869</v>
      </c>
      <c r="BA8" s="260"/>
      <c r="BB8" s="262">
        <v>0</v>
      </c>
      <c r="BC8" s="262">
        <v>0</v>
      </c>
      <c r="BD8" s="262">
        <v>0</v>
      </c>
      <c r="BE8" s="262">
        <v>0</v>
      </c>
      <c r="BF8" s="262">
        <v>0</v>
      </c>
      <c r="BG8" s="262">
        <v>0</v>
      </c>
      <c r="BH8" s="262">
        <v>0</v>
      </c>
      <c r="BI8" s="262">
        <v>0</v>
      </c>
      <c r="BJ8" s="262">
        <v>0</v>
      </c>
      <c r="BK8" s="262">
        <v>0</v>
      </c>
      <c r="BL8" s="262"/>
      <c r="BM8" s="262"/>
      <c r="BN8" s="262"/>
      <c r="BO8" s="262" t="s">
        <v>864</v>
      </c>
      <c r="BP8" s="371"/>
      <c r="BQ8" s="262"/>
      <c r="BR8" s="373"/>
      <c r="BS8" s="260"/>
      <c r="BT8" s="260"/>
      <c r="BU8" s="262"/>
      <c r="BV8" s="262" t="s">
        <v>864</v>
      </c>
      <c r="BW8" s="262"/>
      <c r="BX8" s="260"/>
      <c r="BY8" s="260" t="s">
        <v>870</v>
      </c>
    </row>
    <row r="9" spans="1:77" x14ac:dyDescent="0.15">
      <c r="A9" s="260">
        <v>1137</v>
      </c>
      <c r="B9" s="270">
        <v>43565</v>
      </c>
      <c r="C9" s="261" t="s">
        <v>861</v>
      </c>
      <c r="D9" s="260" t="s">
        <v>454</v>
      </c>
      <c r="E9" s="260">
        <v>1</v>
      </c>
      <c r="F9" s="260" t="s">
        <v>862</v>
      </c>
      <c r="G9" s="270">
        <v>43518</v>
      </c>
      <c r="H9" s="262" t="s">
        <v>863</v>
      </c>
      <c r="I9" s="262" t="s">
        <v>864</v>
      </c>
      <c r="J9" s="262">
        <v>8</v>
      </c>
      <c r="K9" s="260" t="s">
        <v>254</v>
      </c>
      <c r="L9" s="260" t="s">
        <v>327</v>
      </c>
      <c r="M9" s="369">
        <v>102.49999999999999</v>
      </c>
      <c r="N9" s="369">
        <v>37.518181818181816</v>
      </c>
      <c r="O9" s="260" t="s">
        <v>518</v>
      </c>
      <c r="P9" s="263">
        <v>3822</v>
      </c>
      <c r="Q9" s="369">
        <v>39.018181818181816</v>
      </c>
      <c r="R9" s="263"/>
      <c r="S9" s="264"/>
      <c r="T9" s="260"/>
      <c r="U9" s="263"/>
      <c r="V9" s="264"/>
      <c r="W9" s="264"/>
      <c r="X9" s="260"/>
      <c r="Y9" s="260"/>
      <c r="Z9" s="260"/>
      <c r="AA9" s="260"/>
      <c r="AB9" s="260"/>
      <c r="AC9" s="260"/>
      <c r="AD9" s="260"/>
      <c r="AE9" s="264"/>
      <c r="AF9" s="264"/>
      <c r="AG9" s="263"/>
      <c r="AH9" s="260"/>
      <c r="AI9" s="264"/>
      <c r="AJ9" s="260"/>
      <c r="AK9" s="260"/>
      <c r="AL9" s="260"/>
      <c r="AM9" s="260"/>
      <c r="AN9" s="264"/>
      <c r="AO9" s="265"/>
      <c r="AP9" s="264"/>
      <c r="AQ9" s="370" t="s">
        <v>865</v>
      </c>
      <c r="AR9" s="262" t="s">
        <v>864</v>
      </c>
      <c r="AS9" s="262"/>
      <c r="AT9" s="262"/>
      <c r="AU9" s="262">
        <v>6</v>
      </c>
      <c r="AV9" s="262"/>
      <c r="AW9" s="262"/>
      <c r="AX9" s="262"/>
      <c r="AY9" s="262"/>
      <c r="AZ9" s="262" t="s">
        <v>153</v>
      </c>
      <c r="BA9" s="260"/>
      <c r="BB9" s="262">
        <v>6</v>
      </c>
      <c r="BC9" s="262">
        <v>0</v>
      </c>
      <c r="BD9" s="262">
        <v>0</v>
      </c>
      <c r="BE9" s="262">
        <v>0</v>
      </c>
      <c r="BF9" s="262">
        <v>0</v>
      </c>
      <c r="BG9" s="262">
        <v>0</v>
      </c>
      <c r="BH9" s="262">
        <v>0</v>
      </c>
      <c r="BI9" s="262">
        <v>0</v>
      </c>
      <c r="BJ9" s="262">
        <v>0</v>
      </c>
      <c r="BK9" s="262">
        <v>0</v>
      </c>
      <c r="BL9" s="262"/>
      <c r="BM9" s="262"/>
      <c r="BN9" s="262"/>
      <c r="BO9" s="262" t="s">
        <v>864</v>
      </c>
      <c r="BP9" s="371"/>
      <c r="BQ9" s="262"/>
      <c r="BR9" s="373"/>
      <c r="BS9" s="260"/>
      <c r="BT9" s="260"/>
      <c r="BU9" s="262"/>
      <c r="BV9" s="262" t="s">
        <v>864</v>
      </c>
      <c r="BW9" s="262"/>
      <c r="BX9" s="260"/>
      <c r="BY9" s="260" t="s">
        <v>913</v>
      </c>
    </row>
    <row r="10" spans="1:77" x14ac:dyDescent="0.15">
      <c r="A10" s="260">
        <v>1501</v>
      </c>
      <c r="B10" s="270">
        <v>43565</v>
      </c>
      <c r="C10" s="261" t="s">
        <v>755</v>
      </c>
      <c r="D10" s="260" t="s">
        <v>454</v>
      </c>
      <c r="E10" s="260">
        <v>1</v>
      </c>
      <c r="F10" s="260" t="s">
        <v>756</v>
      </c>
      <c r="G10" s="270">
        <v>43266</v>
      </c>
      <c r="H10" s="262" t="s">
        <v>757</v>
      </c>
      <c r="I10" s="262" t="s">
        <v>758</v>
      </c>
      <c r="J10" s="262">
        <v>9</v>
      </c>
      <c r="K10" s="260" t="s">
        <v>495</v>
      </c>
      <c r="L10" s="260" t="s">
        <v>781</v>
      </c>
      <c r="M10" s="369">
        <v>138.6181818181818</v>
      </c>
      <c r="N10" s="369">
        <v>37.25454545454545</v>
      </c>
      <c r="O10" s="260"/>
      <c r="P10" s="263"/>
      <c r="Q10" s="264"/>
      <c r="R10" s="263"/>
      <c r="S10" s="264"/>
      <c r="T10" s="260"/>
      <c r="U10" s="260"/>
      <c r="V10" s="264"/>
      <c r="W10" s="264"/>
      <c r="X10" s="260"/>
      <c r="Y10" s="260"/>
      <c r="Z10" s="260"/>
      <c r="AA10" s="260"/>
      <c r="AB10" s="260"/>
      <c r="AC10" s="260"/>
      <c r="AD10" s="260"/>
      <c r="AE10" s="264"/>
      <c r="AF10" s="264"/>
      <c r="AG10" s="263"/>
      <c r="AH10" s="260"/>
      <c r="AI10" s="264"/>
      <c r="AJ10" s="260"/>
      <c r="AK10" s="260"/>
      <c r="AL10" s="260"/>
      <c r="AM10" s="260"/>
      <c r="AN10" s="264"/>
      <c r="AO10" s="265"/>
      <c r="AP10" s="264"/>
      <c r="AQ10" s="370" t="s">
        <v>761</v>
      </c>
      <c r="AR10" s="262" t="s">
        <v>758</v>
      </c>
      <c r="AS10" s="262"/>
      <c r="AT10" s="262"/>
      <c r="AU10" s="262">
        <v>3</v>
      </c>
      <c r="AV10" s="262"/>
      <c r="AW10" s="262"/>
      <c r="AX10" s="262"/>
      <c r="AY10" s="262"/>
      <c r="AZ10" s="262" t="s">
        <v>762</v>
      </c>
      <c r="BA10" s="260"/>
      <c r="BB10" s="262">
        <v>0</v>
      </c>
      <c r="BC10" s="262">
        <v>0</v>
      </c>
      <c r="BD10" s="262">
        <v>0</v>
      </c>
      <c r="BE10" s="262">
        <v>0</v>
      </c>
      <c r="BF10" s="262">
        <v>0</v>
      </c>
      <c r="BG10" s="262">
        <v>0</v>
      </c>
      <c r="BH10" s="262">
        <v>0</v>
      </c>
      <c r="BI10" s="262">
        <v>0</v>
      </c>
      <c r="BJ10" s="262">
        <v>0</v>
      </c>
      <c r="BK10" s="262">
        <v>0</v>
      </c>
      <c r="BL10" s="262"/>
      <c r="BM10" s="262"/>
      <c r="BN10" s="262"/>
      <c r="BO10" s="262" t="s">
        <v>758</v>
      </c>
      <c r="BP10" s="371"/>
      <c r="BQ10" s="262"/>
      <c r="BR10" s="262"/>
      <c r="BS10" s="260"/>
      <c r="BT10" s="260"/>
      <c r="BU10" s="262"/>
      <c r="BV10" s="262" t="s">
        <v>758</v>
      </c>
      <c r="BW10" s="262">
        <v>1</v>
      </c>
      <c r="BX10" s="260"/>
      <c r="BY10" s="374" t="s">
        <v>874</v>
      </c>
    </row>
    <row r="11" spans="1:77" x14ac:dyDescent="0.15">
      <c r="A11" s="260">
        <v>591</v>
      </c>
      <c r="B11" s="270">
        <v>43565</v>
      </c>
      <c r="C11" s="261" t="s">
        <v>453</v>
      </c>
      <c r="D11" s="260" t="s">
        <v>454</v>
      </c>
      <c r="E11" s="260">
        <v>1</v>
      </c>
      <c r="F11" s="260" t="s">
        <v>455</v>
      </c>
      <c r="G11" s="270">
        <v>43504</v>
      </c>
      <c r="H11" s="262" t="s">
        <v>456</v>
      </c>
      <c r="I11" s="262" t="s">
        <v>457</v>
      </c>
      <c r="J11" s="262">
        <v>10</v>
      </c>
      <c r="K11" s="260" t="s">
        <v>875</v>
      </c>
      <c r="L11" s="260" t="s">
        <v>595</v>
      </c>
      <c r="M11" s="369">
        <v>72.72727272727272</v>
      </c>
      <c r="N11" s="369">
        <v>32.727272727272727</v>
      </c>
      <c r="O11" s="260"/>
      <c r="P11" s="263"/>
      <c r="Q11" s="264"/>
      <c r="R11" s="263"/>
      <c r="S11" s="264"/>
      <c r="T11" s="263"/>
      <c r="U11" s="260"/>
      <c r="V11" s="264"/>
      <c r="W11" s="264"/>
      <c r="X11" s="263"/>
      <c r="Y11" s="260"/>
      <c r="Z11" s="263"/>
      <c r="AA11" s="260"/>
      <c r="AB11" s="263"/>
      <c r="AC11" s="260"/>
      <c r="AD11" s="260"/>
      <c r="AE11" s="264"/>
      <c r="AF11" s="264"/>
      <c r="AG11" s="263"/>
      <c r="AH11" s="260"/>
      <c r="AI11" s="264"/>
      <c r="AJ11" s="260"/>
      <c r="AK11" s="260"/>
      <c r="AL11" s="260"/>
      <c r="AM11" s="260"/>
      <c r="AN11" s="264"/>
      <c r="AO11" s="265"/>
      <c r="AP11" s="264"/>
      <c r="AQ11" s="370" t="s">
        <v>460</v>
      </c>
      <c r="AR11" s="262" t="s">
        <v>457</v>
      </c>
      <c r="AS11" s="262"/>
      <c r="AT11" s="262"/>
      <c r="AU11" s="262">
        <v>9</v>
      </c>
      <c r="AV11" s="262" t="s">
        <v>876</v>
      </c>
      <c r="AW11" s="262">
        <v>10</v>
      </c>
      <c r="AX11" s="262"/>
      <c r="AY11" s="262">
        <v>6.5</v>
      </c>
      <c r="AZ11" s="262" t="s">
        <v>462</v>
      </c>
      <c r="BA11" s="260"/>
      <c r="BB11" s="262">
        <v>0</v>
      </c>
      <c r="BC11" s="262">
        <v>0</v>
      </c>
      <c r="BD11" s="262">
        <v>0</v>
      </c>
      <c r="BE11" s="262">
        <v>0</v>
      </c>
      <c r="BF11" s="262">
        <v>0</v>
      </c>
      <c r="BG11" s="262">
        <v>0</v>
      </c>
      <c r="BH11" s="262">
        <v>0</v>
      </c>
      <c r="BI11" s="262">
        <v>0</v>
      </c>
      <c r="BJ11" s="262">
        <v>0</v>
      </c>
      <c r="BK11" s="262">
        <v>0</v>
      </c>
      <c r="BL11" s="262"/>
      <c r="BM11" s="262"/>
      <c r="BN11" s="262"/>
      <c r="BO11" s="262" t="s">
        <v>457</v>
      </c>
      <c r="BP11" s="375">
        <v>163.58181818181816</v>
      </c>
      <c r="BQ11" s="262"/>
      <c r="BR11" s="373"/>
      <c r="BS11" s="266"/>
      <c r="BT11" s="266"/>
      <c r="BU11" s="266"/>
      <c r="BV11" s="262" t="s">
        <v>457</v>
      </c>
      <c r="BW11" s="262"/>
      <c r="BX11" s="260"/>
      <c r="BY11" s="260" t="s">
        <v>914</v>
      </c>
    </row>
    <row r="12" spans="1:77" x14ac:dyDescent="0.15">
      <c r="A12" s="260">
        <v>2032</v>
      </c>
      <c r="B12" s="270">
        <v>43565</v>
      </c>
      <c r="C12" s="261" t="s">
        <v>191</v>
      </c>
      <c r="D12" s="260" t="s">
        <v>454</v>
      </c>
      <c r="E12" s="260">
        <v>1</v>
      </c>
      <c r="F12" s="260" t="s">
        <v>181</v>
      </c>
      <c r="G12" s="270">
        <v>43273</v>
      </c>
      <c r="H12" s="262" t="s">
        <v>863</v>
      </c>
      <c r="I12" s="262" t="s">
        <v>864</v>
      </c>
      <c r="J12" s="262">
        <v>11</v>
      </c>
      <c r="K12" s="260" t="s">
        <v>691</v>
      </c>
      <c r="L12" s="260" t="s">
        <v>791</v>
      </c>
      <c r="M12" s="369">
        <v>138.37272727272727</v>
      </c>
      <c r="N12" s="369">
        <v>40.518181818181816</v>
      </c>
      <c r="O12" s="260"/>
      <c r="P12" s="263"/>
      <c r="Q12" s="264"/>
      <c r="R12" s="263"/>
      <c r="S12" s="264"/>
      <c r="T12" s="263"/>
      <c r="U12" s="260"/>
      <c r="V12" s="264"/>
      <c r="W12" s="264"/>
      <c r="X12" s="260"/>
      <c r="Y12" s="260"/>
      <c r="Z12" s="260"/>
      <c r="AA12" s="260"/>
      <c r="AB12" s="260"/>
      <c r="AC12" s="260"/>
      <c r="AD12" s="260"/>
      <c r="AE12" s="264"/>
      <c r="AF12" s="264"/>
      <c r="AG12" s="260"/>
      <c r="AH12" s="260"/>
      <c r="AI12" s="264"/>
      <c r="AJ12" s="260"/>
      <c r="AK12" s="260"/>
      <c r="AL12" s="260"/>
      <c r="AM12" s="260"/>
      <c r="AN12" s="264"/>
      <c r="AO12" s="265"/>
      <c r="AP12" s="264"/>
      <c r="AQ12" s="370" t="s">
        <v>140</v>
      </c>
      <c r="AR12" s="262" t="s">
        <v>153</v>
      </c>
      <c r="AS12" s="262"/>
      <c r="AT12" s="262"/>
      <c r="AU12" s="262"/>
      <c r="AV12" s="262"/>
      <c r="AW12" s="262"/>
      <c r="AX12" s="262"/>
      <c r="AY12" s="262"/>
      <c r="AZ12" s="262" t="s">
        <v>869</v>
      </c>
      <c r="BA12" s="260"/>
      <c r="BB12" s="262">
        <v>0</v>
      </c>
      <c r="BC12" s="262">
        <v>0</v>
      </c>
      <c r="BD12" s="262">
        <v>0</v>
      </c>
      <c r="BE12" s="262">
        <v>0</v>
      </c>
      <c r="BF12" s="262">
        <v>0</v>
      </c>
      <c r="BG12" s="262">
        <v>0</v>
      </c>
      <c r="BH12" s="262">
        <v>0</v>
      </c>
      <c r="BI12" s="262">
        <v>0</v>
      </c>
      <c r="BJ12" s="262">
        <v>0</v>
      </c>
      <c r="BK12" s="262">
        <v>0</v>
      </c>
      <c r="BL12" s="262"/>
      <c r="BM12" s="262"/>
      <c r="BN12" s="262"/>
      <c r="BO12" s="262" t="s">
        <v>153</v>
      </c>
      <c r="BP12" s="371"/>
      <c r="BQ12" s="262"/>
      <c r="BR12" s="262"/>
      <c r="BS12" s="266"/>
      <c r="BT12" s="266"/>
      <c r="BU12" s="262"/>
      <c r="BV12" s="262" t="s">
        <v>153</v>
      </c>
      <c r="BW12" s="262">
        <v>1</v>
      </c>
      <c r="BX12" s="260"/>
      <c r="BY12" s="260" t="s">
        <v>76</v>
      </c>
    </row>
    <row r="13" spans="1:77" x14ac:dyDescent="0.15">
      <c r="A13" s="260">
        <v>2100</v>
      </c>
      <c r="B13" s="270">
        <v>43565</v>
      </c>
      <c r="C13" s="261" t="s">
        <v>755</v>
      </c>
      <c r="D13" s="260" t="s">
        <v>454</v>
      </c>
      <c r="E13" s="260">
        <v>1</v>
      </c>
      <c r="F13" s="260" t="s">
        <v>756</v>
      </c>
      <c r="G13" s="267">
        <v>43558</v>
      </c>
      <c r="H13" s="262" t="s">
        <v>175</v>
      </c>
      <c r="I13" s="262" t="s">
        <v>174</v>
      </c>
      <c r="J13" s="262">
        <v>12</v>
      </c>
      <c r="K13" s="260" t="s">
        <v>794</v>
      </c>
      <c r="L13" s="260" t="s">
        <v>734</v>
      </c>
      <c r="M13" s="369">
        <v>102.55454545454545</v>
      </c>
      <c r="N13" s="369">
        <v>40.799999999999997</v>
      </c>
      <c r="O13" s="260"/>
      <c r="P13" s="263"/>
      <c r="Q13" s="264"/>
      <c r="R13" s="263"/>
      <c r="S13" s="264"/>
      <c r="T13" s="263"/>
      <c r="U13" s="260"/>
      <c r="V13" s="264"/>
      <c r="W13" s="264"/>
      <c r="X13" s="260"/>
      <c r="Y13" s="260"/>
      <c r="Z13" s="260"/>
      <c r="AA13" s="260"/>
      <c r="AB13" s="260"/>
      <c r="AC13" s="260"/>
      <c r="AD13" s="260"/>
      <c r="AE13" s="264"/>
      <c r="AF13" s="264"/>
      <c r="AG13" s="263"/>
      <c r="AH13" s="260"/>
      <c r="AI13" s="264"/>
      <c r="AJ13" s="260"/>
      <c r="AK13" s="260"/>
      <c r="AL13" s="260"/>
      <c r="AM13" s="260"/>
      <c r="AN13" s="264"/>
      <c r="AO13" s="265"/>
      <c r="AP13" s="264"/>
      <c r="AQ13" s="260" t="s">
        <v>761</v>
      </c>
      <c r="AR13" s="262" t="s">
        <v>758</v>
      </c>
      <c r="AS13" s="262"/>
      <c r="AT13" s="262"/>
      <c r="AU13" s="262">
        <v>5.5</v>
      </c>
      <c r="AV13" s="262"/>
      <c r="AW13" s="262"/>
      <c r="AX13" s="262"/>
      <c r="AY13" s="262"/>
      <c r="AZ13" s="262" t="s">
        <v>361</v>
      </c>
      <c r="BA13" s="260"/>
      <c r="BB13" s="262">
        <v>0</v>
      </c>
      <c r="BC13" s="262">
        <v>0</v>
      </c>
      <c r="BD13" s="262">
        <v>0</v>
      </c>
      <c r="BE13" s="262">
        <v>0</v>
      </c>
      <c r="BF13" s="262">
        <v>0</v>
      </c>
      <c r="BG13" s="262">
        <v>0</v>
      </c>
      <c r="BH13" s="262">
        <v>0</v>
      </c>
      <c r="BI13" s="262">
        <v>0</v>
      </c>
      <c r="BJ13" s="262">
        <v>0</v>
      </c>
      <c r="BK13" s="262">
        <v>0</v>
      </c>
      <c r="BL13" s="262"/>
      <c r="BM13" s="262"/>
      <c r="BN13" s="262"/>
      <c r="BO13" s="262" t="s">
        <v>758</v>
      </c>
      <c r="BP13" s="371"/>
      <c r="BQ13" s="262"/>
      <c r="BR13" s="262"/>
      <c r="BS13" s="266" t="s">
        <v>878</v>
      </c>
      <c r="BT13" s="266" t="s">
        <v>195</v>
      </c>
      <c r="BU13" s="262">
        <v>50</v>
      </c>
      <c r="BV13" s="262" t="s">
        <v>758</v>
      </c>
      <c r="BW13" s="262"/>
      <c r="BX13" s="266" t="s">
        <v>879</v>
      </c>
      <c r="BY13" s="260" t="s">
        <v>915</v>
      </c>
    </row>
    <row r="14" spans="1:77" x14ac:dyDescent="0.15">
      <c r="A14" s="260">
        <v>514</v>
      </c>
      <c r="B14" s="270">
        <v>43565</v>
      </c>
      <c r="C14" s="261" t="s">
        <v>191</v>
      </c>
      <c r="D14" s="260" t="s">
        <v>454</v>
      </c>
      <c r="E14" s="260">
        <v>1</v>
      </c>
      <c r="F14" s="260" t="s">
        <v>181</v>
      </c>
      <c r="G14" s="267">
        <v>43417</v>
      </c>
      <c r="H14" s="262" t="s">
        <v>150</v>
      </c>
      <c r="I14" s="262" t="s">
        <v>153</v>
      </c>
      <c r="J14" s="262">
        <v>13</v>
      </c>
      <c r="K14" s="260" t="s">
        <v>881</v>
      </c>
      <c r="L14" s="260" t="s">
        <v>916</v>
      </c>
      <c r="M14" s="369">
        <v>140</v>
      </c>
      <c r="N14" s="369">
        <v>36.154545454545456</v>
      </c>
      <c r="O14" s="260"/>
      <c r="P14" s="263"/>
      <c r="Q14" s="264"/>
      <c r="R14" s="263"/>
      <c r="S14" s="264"/>
      <c r="T14" s="263"/>
      <c r="U14" s="260"/>
      <c r="V14" s="264"/>
      <c r="W14" s="264"/>
      <c r="X14" s="260"/>
      <c r="Y14" s="260"/>
      <c r="Z14" s="260"/>
      <c r="AA14" s="260"/>
      <c r="AB14" s="260"/>
      <c r="AC14" s="260"/>
      <c r="AD14" s="260"/>
      <c r="AE14" s="264"/>
      <c r="AF14" s="264"/>
      <c r="AG14" s="260"/>
      <c r="AH14" s="260"/>
      <c r="AI14" s="264"/>
      <c r="AJ14" s="260"/>
      <c r="AK14" s="260"/>
      <c r="AL14" s="260"/>
      <c r="AM14" s="260"/>
      <c r="AN14" s="264"/>
      <c r="AO14" s="265"/>
      <c r="AP14" s="264"/>
      <c r="AQ14" s="370" t="s">
        <v>140</v>
      </c>
      <c r="AR14" s="262" t="s">
        <v>153</v>
      </c>
      <c r="AS14" s="262"/>
      <c r="AT14" s="262"/>
      <c r="AU14" s="262">
        <v>8</v>
      </c>
      <c r="AV14" s="262"/>
      <c r="AW14" s="262"/>
      <c r="AX14" s="262"/>
      <c r="AY14" s="262"/>
      <c r="AZ14" s="262" t="s">
        <v>153</v>
      </c>
      <c r="BA14" s="260"/>
      <c r="BB14" s="262">
        <v>0</v>
      </c>
      <c r="BC14" s="262">
        <v>0</v>
      </c>
      <c r="BD14" s="262">
        <v>0</v>
      </c>
      <c r="BE14" s="262">
        <v>0</v>
      </c>
      <c r="BF14" s="262">
        <v>0</v>
      </c>
      <c r="BG14" s="262">
        <v>0</v>
      </c>
      <c r="BH14" s="262">
        <v>0</v>
      </c>
      <c r="BI14" s="262">
        <v>0</v>
      </c>
      <c r="BJ14" s="262">
        <v>0</v>
      </c>
      <c r="BK14" s="262">
        <v>0</v>
      </c>
      <c r="BL14" s="262"/>
      <c r="BM14" s="262"/>
      <c r="BN14" s="262"/>
      <c r="BO14" s="262" t="s">
        <v>153</v>
      </c>
      <c r="BP14" s="371"/>
      <c r="BQ14" s="262"/>
      <c r="BR14" s="262"/>
      <c r="BS14" s="266"/>
      <c r="BT14" s="266"/>
      <c r="BU14" s="262"/>
      <c r="BV14" s="262" t="s">
        <v>153</v>
      </c>
      <c r="BW14" s="262">
        <v>1</v>
      </c>
      <c r="BX14" s="260"/>
      <c r="BY14" s="260" t="s">
        <v>917</v>
      </c>
    </row>
    <row r="15" spans="1:77" x14ac:dyDescent="0.15">
      <c r="A15" s="260">
        <v>1908</v>
      </c>
      <c r="B15" s="270">
        <v>43565</v>
      </c>
      <c r="C15" s="261" t="s">
        <v>377</v>
      </c>
      <c r="D15" s="260" t="s">
        <v>454</v>
      </c>
      <c r="E15" s="260">
        <v>1</v>
      </c>
      <c r="F15" s="260" t="s">
        <v>756</v>
      </c>
      <c r="G15" s="270">
        <v>43281</v>
      </c>
      <c r="H15" s="262" t="s">
        <v>757</v>
      </c>
      <c r="I15" s="262" t="s">
        <v>758</v>
      </c>
      <c r="J15" s="262">
        <v>14</v>
      </c>
      <c r="K15" s="260" t="s">
        <v>799</v>
      </c>
      <c r="L15" s="260" t="s">
        <v>800</v>
      </c>
      <c r="M15" s="369">
        <v>113.58181818181816</v>
      </c>
      <c r="N15" s="369">
        <v>39.18181818181818</v>
      </c>
      <c r="O15" s="260" t="s">
        <v>518</v>
      </c>
      <c r="P15" s="260">
        <v>2492</v>
      </c>
      <c r="Q15" s="369">
        <v>46.181818181818173</v>
      </c>
      <c r="R15" s="260"/>
      <c r="S15" s="264"/>
      <c r="T15" s="260"/>
      <c r="U15" s="263"/>
      <c r="V15" s="264"/>
      <c r="W15" s="264"/>
      <c r="X15" s="260"/>
      <c r="Y15" s="260"/>
      <c r="Z15" s="260"/>
      <c r="AA15" s="260"/>
      <c r="AB15" s="260"/>
      <c r="AC15" s="260"/>
      <c r="AD15" s="260"/>
      <c r="AE15" s="264"/>
      <c r="AF15" s="264"/>
      <c r="AG15" s="260"/>
      <c r="AH15" s="260"/>
      <c r="AI15" s="264"/>
      <c r="AJ15" s="260"/>
      <c r="AK15" s="260"/>
      <c r="AL15" s="260"/>
      <c r="AM15" s="260"/>
      <c r="AN15" s="264"/>
      <c r="AO15" s="265"/>
      <c r="AP15" s="264"/>
      <c r="AQ15" s="370" t="s">
        <v>140</v>
      </c>
      <c r="AR15" s="262" t="s">
        <v>758</v>
      </c>
      <c r="AS15" s="262"/>
      <c r="AT15" s="262"/>
      <c r="AU15" s="262"/>
      <c r="AV15" s="262"/>
      <c r="AW15" s="262"/>
      <c r="AX15" s="262"/>
      <c r="AY15" s="262"/>
      <c r="AZ15" s="262" t="s">
        <v>175</v>
      </c>
      <c r="BA15" s="260"/>
      <c r="BB15" s="262">
        <v>0</v>
      </c>
      <c r="BC15" s="262">
        <v>0</v>
      </c>
      <c r="BD15" s="262">
        <v>0</v>
      </c>
      <c r="BE15" s="262">
        <v>0</v>
      </c>
      <c r="BF15" s="262">
        <v>0</v>
      </c>
      <c r="BG15" s="262">
        <v>0</v>
      </c>
      <c r="BH15" s="262">
        <v>0</v>
      </c>
      <c r="BI15" s="262">
        <v>0</v>
      </c>
      <c r="BJ15" s="262">
        <v>0</v>
      </c>
      <c r="BK15" s="262">
        <v>0</v>
      </c>
      <c r="BL15" s="262"/>
      <c r="BM15" s="262"/>
      <c r="BN15" s="262"/>
      <c r="BO15" s="262" t="s">
        <v>758</v>
      </c>
      <c r="BP15" s="375">
        <v>163.63636363636363</v>
      </c>
      <c r="BQ15" s="262"/>
      <c r="BR15" s="262"/>
      <c r="BS15" s="266"/>
      <c r="BT15" s="266"/>
      <c r="BU15" s="262"/>
      <c r="BV15" s="262" t="s">
        <v>758</v>
      </c>
      <c r="BW15" s="262">
        <v>1</v>
      </c>
      <c r="BX15" s="260"/>
      <c r="BY15" s="374" t="s">
        <v>883</v>
      </c>
    </row>
    <row r="16" spans="1:77" x14ac:dyDescent="0.15">
      <c r="A16" s="260">
        <v>282</v>
      </c>
      <c r="B16" s="270">
        <v>43565</v>
      </c>
      <c r="C16" s="261" t="s">
        <v>755</v>
      </c>
      <c r="D16" s="260" t="s">
        <v>454</v>
      </c>
      <c r="E16" s="260">
        <v>1</v>
      </c>
      <c r="F16" s="260" t="s">
        <v>756</v>
      </c>
      <c r="G16" s="267">
        <v>43384</v>
      </c>
      <c r="H16" s="262" t="s">
        <v>175</v>
      </c>
      <c r="I16" s="262" t="s">
        <v>174</v>
      </c>
      <c r="J16" s="262">
        <v>15</v>
      </c>
      <c r="K16" s="260" t="s">
        <v>802</v>
      </c>
      <c r="L16" s="260" t="s">
        <v>884</v>
      </c>
      <c r="M16" s="369">
        <v>136.63636363636363</v>
      </c>
      <c r="N16" s="369">
        <v>35.454545454545453</v>
      </c>
      <c r="O16" s="260"/>
      <c r="P16" s="263"/>
      <c r="Q16" s="264"/>
      <c r="R16" s="263"/>
      <c r="S16" s="264"/>
      <c r="T16" s="263"/>
      <c r="U16" s="260"/>
      <c r="V16" s="264"/>
      <c r="W16" s="264"/>
      <c r="X16" s="260"/>
      <c r="Y16" s="260"/>
      <c r="Z16" s="260"/>
      <c r="AA16" s="260"/>
      <c r="AB16" s="260"/>
      <c r="AC16" s="260"/>
      <c r="AD16" s="260"/>
      <c r="AE16" s="264"/>
      <c r="AF16" s="264"/>
      <c r="AG16" s="263"/>
      <c r="AH16" s="260"/>
      <c r="AI16" s="264"/>
      <c r="AJ16" s="260"/>
      <c r="AK16" s="260"/>
      <c r="AL16" s="260"/>
      <c r="AM16" s="260"/>
      <c r="AN16" s="264"/>
      <c r="AO16" s="265"/>
      <c r="AP16" s="264"/>
      <c r="AQ16" s="260" t="s">
        <v>761</v>
      </c>
      <c r="AR16" s="262" t="s">
        <v>758</v>
      </c>
      <c r="AS16" s="262"/>
      <c r="AT16" s="262"/>
      <c r="AU16" s="262">
        <v>7</v>
      </c>
      <c r="AV16" s="262"/>
      <c r="AW16" s="262"/>
      <c r="AX16" s="262"/>
      <c r="AY16" s="262"/>
      <c r="AZ16" s="262" t="s">
        <v>758</v>
      </c>
      <c r="BA16" s="260"/>
      <c r="BB16" s="262">
        <v>0</v>
      </c>
      <c r="BC16" s="262">
        <v>0</v>
      </c>
      <c r="BD16" s="262">
        <v>0</v>
      </c>
      <c r="BE16" s="262">
        <v>0</v>
      </c>
      <c r="BF16" s="262">
        <v>0</v>
      </c>
      <c r="BG16" s="262">
        <v>0</v>
      </c>
      <c r="BH16" s="262">
        <v>0</v>
      </c>
      <c r="BI16" s="262">
        <v>0</v>
      </c>
      <c r="BJ16" s="262">
        <v>0</v>
      </c>
      <c r="BK16" s="262">
        <v>0</v>
      </c>
      <c r="BL16" s="262"/>
      <c r="BM16" s="262"/>
      <c r="BN16" s="262"/>
      <c r="BO16" s="262" t="s">
        <v>758</v>
      </c>
      <c r="BP16" s="371"/>
      <c r="BQ16" s="262"/>
      <c r="BR16" s="262"/>
      <c r="BS16" s="260"/>
      <c r="BT16" s="260"/>
      <c r="BU16" s="262"/>
      <c r="BV16" s="262" t="s">
        <v>758</v>
      </c>
      <c r="BW16" s="262">
        <v>1</v>
      </c>
      <c r="BX16" s="260"/>
      <c r="BY16" s="260" t="s">
        <v>918</v>
      </c>
    </row>
    <row r="17" spans="1:77" x14ac:dyDescent="0.15">
      <c r="A17" s="260">
        <v>2220</v>
      </c>
      <c r="B17" s="270">
        <v>43565</v>
      </c>
      <c r="C17" s="261" t="s">
        <v>453</v>
      </c>
      <c r="D17" s="260" t="s">
        <v>454</v>
      </c>
      <c r="E17" s="260">
        <v>1</v>
      </c>
      <c r="F17" s="260" t="s">
        <v>455</v>
      </c>
      <c r="G17" s="270">
        <v>43543</v>
      </c>
      <c r="H17" s="262" t="s">
        <v>456</v>
      </c>
      <c r="I17" s="262" t="s">
        <v>457</v>
      </c>
      <c r="J17" s="262">
        <v>16</v>
      </c>
      <c r="K17" s="260" t="s">
        <v>303</v>
      </c>
      <c r="L17" s="260" t="s">
        <v>919</v>
      </c>
      <c r="M17" s="369">
        <v>126.99999999999999</v>
      </c>
      <c r="N17" s="369">
        <v>32.699999999999996</v>
      </c>
      <c r="O17" s="260"/>
      <c r="P17" s="263"/>
      <c r="Q17" s="264"/>
      <c r="R17" s="263"/>
      <c r="S17" s="264"/>
      <c r="T17" s="263"/>
      <c r="U17" s="260"/>
      <c r="V17" s="264"/>
      <c r="W17" s="264"/>
      <c r="X17" s="263"/>
      <c r="Y17" s="260"/>
      <c r="Z17" s="263"/>
      <c r="AA17" s="260"/>
      <c r="AB17" s="263"/>
      <c r="AC17" s="260"/>
      <c r="AD17" s="260"/>
      <c r="AE17" s="264"/>
      <c r="AF17" s="264"/>
      <c r="AG17" s="263"/>
      <c r="AH17" s="260"/>
      <c r="AI17" s="264"/>
      <c r="AJ17" s="260"/>
      <c r="AK17" s="260"/>
      <c r="AL17" s="260"/>
      <c r="AM17" s="260"/>
      <c r="AN17" s="264"/>
      <c r="AO17" s="265"/>
      <c r="AP17" s="264"/>
      <c r="AQ17" s="370" t="s">
        <v>460</v>
      </c>
      <c r="AR17" s="262" t="s">
        <v>457</v>
      </c>
      <c r="AS17" s="262"/>
      <c r="AT17" s="262"/>
      <c r="AU17" s="262">
        <v>6.8</v>
      </c>
      <c r="AV17" s="262"/>
      <c r="AW17" s="262"/>
      <c r="AX17" s="262"/>
      <c r="AY17" s="262"/>
      <c r="AZ17" s="262" t="s">
        <v>462</v>
      </c>
      <c r="BA17" s="260"/>
      <c r="BB17" s="262">
        <v>0</v>
      </c>
      <c r="BC17" s="262">
        <v>0</v>
      </c>
      <c r="BD17" s="262">
        <v>0</v>
      </c>
      <c r="BE17" s="262">
        <v>0</v>
      </c>
      <c r="BF17" s="262">
        <v>0</v>
      </c>
      <c r="BG17" s="262">
        <v>0</v>
      </c>
      <c r="BH17" s="262">
        <v>0</v>
      </c>
      <c r="BI17" s="262">
        <v>0</v>
      </c>
      <c r="BJ17" s="262">
        <v>0</v>
      </c>
      <c r="BK17" s="262">
        <v>0</v>
      </c>
      <c r="BL17" s="262"/>
      <c r="BM17" s="262"/>
      <c r="BN17" s="262"/>
      <c r="BO17" s="262" t="s">
        <v>457</v>
      </c>
      <c r="BP17" s="371"/>
      <c r="BQ17" s="262"/>
      <c r="BR17" s="262"/>
      <c r="BS17" s="260"/>
      <c r="BT17" s="260"/>
      <c r="BU17" s="262"/>
      <c r="BV17" s="262" t="s">
        <v>457</v>
      </c>
      <c r="BW17" s="262"/>
      <c r="BX17" s="260"/>
      <c r="BY17" s="260" t="s">
        <v>920</v>
      </c>
    </row>
    <row r="18" spans="1:77" x14ac:dyDescent="0.15">
      <c r="A18" s="260">
        <v>2</v>
      </c>
      <c r="B18" s="270">
        <v>43565</v>
      </c>
      <c r="C18" s="261" t="s">
        <v>453</v>
      </c>
      <c r="D18" s="260" t="s">
        <v>454</v>
      </c>
      <c r="E18" s="260">
        <v>1</v>
      </c>
      <c r="F18" s="260" t="s">
        <v>455</v>
      </c>
      <c r="G18" s="270">
        <v>43539</v>
      </c>
      <c r="H18" s="262" t="s">
        <v>456</v>
      </c>
      <c r="I18" s="262" t="s">
        <v>457</v>
      </c>
      <c r="J18" s="262">
        <v>17</v>
      </c>
      <c r="K18" s="260" t="s">
        <v>805</v>
      </c>
      <c r="L18" s="260" t="s">
        <v>806</v>
      </c>
      <c r="M18" s="369">
        <v>93.490909090909085</v>
      </c>
      <c r="N18" s="369">
        <v>36.009090909090908</v>
      </c>
      <c r="O18" s="260"/>
      <c r="P18" s="263"/>
      <c r="Q18" s="264"/>
      <c r="R18" s="263"/>
      <c r="S18" s="264"/>
      <c r="T18" s="263"/>
      <c r="U18" s="260"/>
      <c r="V18" s="264"/>
      <c r="W18" s="264"/>
      <c r="X18" s="263"/>
      <c r="Y18" s="260"/>
      <c r="Z18" s="263"/>
      <c r="AA18" s="260"/>
      <c r="AB18" s="263"/>
      <c r="AC18" s="260"/>
      <c r="AD18" s="260"/>
      <c r="AE18" s="264"/>
      <c r="AF18" s="264"/>
      <c r="AG18" s="263"/>
      <c r="AH18" s="260"/>
      <c r="AI18" s="264"/>
      <c r="AJ18" s="260"/>
      <c r="AK18" s="260"/>
      <c r="AL18" s="260"/>
      <c r="AM18" s="260"/>
      <c r="AN18" s="264"/>
      <c r="AO18" s="265"/>
      <c r="AP18" s="264"/>
      <c r="AQ18" s="370" t="s">
        <v>460</v>
      </c>
      <c r="AR18" s="262" t="s">
        <v>457</v>
      </c>
      <c r="AS18" s="262"/>
      <c r="AT18" s="262"/>
      <c r="AU18" s="262">
        <v>7</v>
      </c>
      <c r="AV18" s="262"/>
      <c r="AW18" s="262"/>
      <c r="AX18" s="262"/>
      <c r="AY18" s="262"/>
      <c r="AZ18" s="262" t="s">
        <v>457</v>
      </c>
      <c r="BA18" s="260"/>
      <c r="BB18" s="262">
        <v>0</v>
      </c>
      <c r="BC18" s="262">
        <v>0</v>
      </c>
      <c r="BD18" s="262">
        <v>0</v>
      </c>
      <c r="BE18" s="262">
        <v>0</v>
      </c>
      <c r="BF18" s="262">
        <v>0</v>
      </c>
      <c r="BG18" s="262">
        <v>0</v>
      </c>
      <c r="BH18" s="262">
        <v>0</v>
      </c>
      <c r="BI18" s="262">
        <v>0</v>
      </c>
      <c r="BJ18" s="262">
        <v>0</v>
      </c>
      <c r="BK18" s="262">
        <v>0</v>
      </c>
      <c r="BL18" s="262"/>
      <c r="BM18" s="262"/>
      <c r="BN18" s="262"/>
      <c r="BO18" s="262" t="s">
        <v>457</v>
      </c>
      <c r="BP18" s="371"/>
      <c r="BQ18" s="262"/>
      <c r="BR18" s="262"/>
      <c r="BS18" s="260"/>
      <c r="BT18" s="260"/>
      <c r="BU18" s="262"/>
      <c r="BV18" s="262" t="s">
        <v>457</v>
      </c>
      <c r="BW18" s="262"/>
      <c r="BX18" s="260"/>
      <c r="BY18" s="260" t="s">
        <v>921</v>
      </c>
    </row>
    <row r="19" spans="1:77" x14ac:dyDescent="0.15">
      <c r="A19" s="260">
        <v>1914</v>
      </c>
      <c r="B19" s="270">
        <v>43565</v>
      </c>
      <c r="C19" s="261" t="s">
        <v>755</v>
      </c>
      <c r="D19" s="260" t="s">
        <v>454</v>
      </c>
      <c r="E19" s="260">
        <v>2</v>
      </c>
      <c r="F19" s="260" t="s">
        <v>808</v>
      </c>
      <c r="G19" s="270">
        <v>43465</v>
      </c>
      <c r="H19" s="262" t="s">
        <v>757</v>
      </c>
      <c r="I19" s="262" t="s">
        <v>758</v>
      </c>
      <c r="J19" s="262">
        <v>1</v>
      </c>
      <c r="K19" s="260" t="s">
        <v>759</v>
      </c>
      <c r="L19" s="260" t="s">
        <v>760</v>
      </c>
      <c r="M19" s="369">
        <v>99.463636363636354</v>
      </c>
      <c r="N19" s="369">
        <v>34.318181818181813</v>
      </c>
      <c r="O19" s="260"/>
      <c r="P19" s="263"/>
      <c r="Q19" s="264"/>
      <c r="R19" s="263"/>
      <c r="S19" s="264"/>
      <c r="T19" s="263"/>
      <c r="U19" s="260"/>
      <c r="V19" s="264"/>
      <c r="W19" s="264"/>
      <c r="X19" s="260"/>
      <c r="Y19" s="260"/>
      <c r="Z19" s="260"/>
      <c r="AA19" s="260"/>
      <c r="AB19" s="263"/>
      <c r="AC19" s="260"/>
      <c r="AD19" s="260"/>
      <c r="AE19" s="264"/>
      <c r="AF19" s="369">
        <v>16.8</v>
      </c>
      <c r="AG19" s="263"/>
      <c r="AH19" s="260"/>
      <c r="AI19" s="264"/>
      <c r="AJ19" s="260"/>
      <c r="AK19" s="260"/>
      <c r="AL19" s="260"/>
      <c r="AM19" s="260"/>
      <c r="AN19" s="264"/>
      <c r="AO19" s="265"/>
      <c r="AP19" s="264"/>
      <c r="AQ19" s="260" t="s">
        <v>809</v>
      </c>
      <c r="AR19" s="262" t="s">
        <v>174</v>
      </c>
      <c r="AS19" s="262"/>
      <c r="AT19" s="262"/>
      <c r="AU19" s="262">
        <v>5</v>
      </c>
      <c r="AV19" s="262"/>
      <c r="AW19" s="262"/>
      <c r="AX19" s="262"/>
      <c r="AY19" s="262"/>
      <c r="AZ19" s="262" t="s">
        <v>762</v>
      </c>
      <c r="BA19" s="260"/>
      <c r="BB19" s="262">
        <v>0</v>
      </c>
      <c r="BC19" s="262">
        <v>0</v>
      </c>
      <c r="BD19" s="262">
        <v>0</v>
      </c>
      <c r="BE19" s="262">
        <v>0</v>
      </c>
      <c r="BF19" s="262">
        <v>0</v>
      </c>
      <c r="BG19" s="262">
        <v>0</v>
      </c>
      <c r="BH19" s="262">
        <v>0</v>
      </c>
      <c r="BI19" s="262">
        <v>0</v>
      </c>
      <c r="BJ19" s="262">
        <v>0</v>
      </c>
      <c r="BK19" s="262">
        <v>0</v>
      </c>
      <c r="BL19" s="262"/>
      <c r="BM19" s="262"/>
      <c r="BN19" s="262">
        <v>12</v>
      </c>
      <c r="BO19" s="262" t="s">
        <v>758</v>
      </c>
      <c r="BP19" s="371"/>
      <c r="BQ19" s="262"/>
      <c r="BR19" s="262"/>
      <c r="BS19" s="260"/>
      <c r="BT19" s="260"/>
      <c r="BU19" s="262"/>
      <c r="BV19" s="262" t="s">
        <v>758</v>
      </c>
      <c r="BW19" s="262"/>
      <c r="BX19" s="260" t="s">
        <v>763</v>
      </c>
      <c r="BY19" s="266" t="s">
        <v>76</v>
      </c>
    </row>
    <row r="20" spans="1:77" x14ac:dyDescent="0.15">
      <c r="A20" s="260">
        <v>167</v>
      </c>
      <c r="B20" s="270">
        <v>43565</v>
      </c>
      <c r="C20" s="261" t="s">
        <v>755</v>
      </c>
      <c r="D20" s="260" t="s">
        <v>454</v>
      </c>
      <c r="E20" s="260">
        <v>2</v>
      </c>
      <c r="F20" s="260" t="s">
        <v>808</v>
      </c>
      <c r="G20" s="267">
        <v>43343</v>
      </c>
      <c r="H20" s="262" t="s">
        <v>175</v>
      </c>
      <c r="I20" s="262" t="s">
        <v>174</v>
      </c>
      <c r="J20" s="262">
        <v>2</v>
      </c>
      <c r="K20" s="260" t="s">
        <v>765</v>
      </c>
      <c r="L20" s="260" t="s">
        <v>766</v>
      </c>
      <c r="M20" s="369">
        <v>93.018181818181802</v>
      </c>
      <c r="N20" s="369">
        <v>34.136363636363633</v>
      </c>
      <c r="O20" s="260"/>
      <c r="P20" s="263"/>
      <c r="Q20" s="264"/>
      <c r="R20" s="263"/>
      <c r="S20" s="264"/>
      <c r="T20" s="263"/>
      <c r="U20" s="260"/>
      <c r="V20" s="264"/>
      <c r="W20" s="264"/>
      <c r="X20" s="260"/>
      <c r="Y20" s="260"/>
      <c r="Z20" s="260"/>
      <c r="AA20" s="260"/>
      <c r="AB20" s="260"/>
      <c r="AC20" s="260"/>
      <c r="AD20" s="260"/>
      <c r="AE20" s="264"/>
      <c r="AF20" s="369">
        <v>16.727272727272723</v>
      </c>
      <c r="AG20" s="263"/>
      <c r="AH20" s="260"/>
      <c r="AI20" s="264"/>
      <c r="AJ20" s="260"/>
      <c r="AK20" s="260"/>
      <c r="AL20" s="260"/>
      <c r="AM20" s="260"/>
      <c r="AN20" s="264"/>
      <c r="AO20" s="265"/>
      <c r="AP20" s="264"/>
      <c r="AQ20" s="260" t="s">
        <v>809</v>
      </c>
      <c r="AR20" s="262" t="s">
        <v>758</v>
      </c>
      <c r="AS20" s="262"/>
      <c r="AT20" s="262"/>
      <c r="AU20" s="262">
        <v>8</v>
      </c>
      <c r="AV20" s="262"/>
      <c r="AW20" s="262"/>
      <c r="AX20" s="262"/>
      <c r="AY20" s="262"/>
      <c r="AZ20" s="262" t="s">
        <v>758</v>
      </c>
      <c r="BA20" s="260"/>
      <c r="BB20" s="262">
        <v>0</v>
      </c>
      <c r="BC20" s="262">
        <v>0</v>
      </c>
      <c r="BD20" s="262">
        <v>0</v>
      </c>
      <c r="BE20" s="262">
        <v>0</v>
      </c>
      <c r="BF20" s="262">
        <v>0</v>
      </c>
      <c r="BG20" s="262">
        <v>0</v>
      </c>
      <c r="BH20" s="262">
        <v>0</v>
      </c>
      <c r="BI20" s="262">
        <v>0</v>
      </c>
      <c r="BJ20" s="262">
        <v>0</v>
      </c>
      <c r="BK20" s="262">
        <v>0</v>
      </c>
      <c r="BL20" s="262"/>
      <c r="BM20" s="262"/>
      <c r="BN20" s="262"/>
      <c r="BO20" s="262" t="s">
        <v>758</v>
      </c>
      <c r="BP20" s="371"/>
      <c r="BQ20" s="262"/>
      <c r="BR20" s="262"/>
      <c r="BS20" s="260"/>
      <c r="BT20" s="260"/>
      <c r="BU20" s="262"/>
      <c r="BV20" s="262" t="s">
        <v>758</v>
      </c>
      <c r="BW20" s="262">
        <v>1</v>
      </c>
      <c r="BX20" s="260"/>
      <c r="BY20" s="260" t="s">
        <v>887</v>
      </c>
    </row>
    <row r="21" spans="1:77" x14ac:dyDescent="0.15">
      <c r="A21" s="260">
        <v>431</v>
      </c>
      <c r="B21" s="270">
        <v>43565</v>
      </c>
      <c r="C21" s="261" t="s">
        <v>315</v>
      </c>
      <c r="D21" s="260" t="s">
        <v>454</v>
      </c>
      <c r="E21" s="260">
        <v>2</v>
      </c>
      <c r="F21" s="260" t="s">
        <v>394</v>
      </c>
      <c r="G21" s="270">
        <v>43281</v>
      </c>
      <c r="H21" s="262" t="s">
        <v>334</v>
      </c>
      <c r="I21" s="262" t="s">
        <v>318</v>
      </c>
      <c r="J21" s="262">
        <v>3</v>
      </c>
      <c r="K21" s="260" t="s">
        <v>341</v>
      </c>
      <c r="L21" s="260" t="s">
        <v>858</v>
      </c>
      <c r="M21" s="369">
        <v>92.999999999999986</v>
      </c>
      <c r="N21" s="369">
        <v>36.154545454545456</v>
      </c>
      <c r="O21" s="260" t="s">
        <v>518</v>
      </c>
      <c r="P21" s="260">
        <v>1000</v>
      </c>
      <c r="Q21" s="369">
        <v>38.999999999999993</v>
      </c>
      <c r="R21" s="263"/>
      <c r="S21" s="264"/>
      <c r="T21" s="260"/>
      <c r="U21" s="260"/>
      <c r="V21" s="264"/>
      <c r="W21" s="264"/>
      <c r="X21" s="260"/>
      <c r="Y21" s="260"/>
      <c r="Z21" s="260"/>
      <c r="AA21" s="260"/>
      <c r="AB21" s="260"/>
      <c r="AC21" s="260"/>
      <c r="AD21" s="260"/>
      <c r="AE21" s="264"/>
      <c r="AF21" s="369">
        <v>17.536363636363635</v>
      </c>
      <c r="AG21" s="263"/>
      <c r="AH21" s="260"/>
      <c r="AI21" s="264"/>
      <c r="AJ21" s="260"/>
      <c r="AK21" s="260"/>
      <c r="AL21" s="260"/>
      <c r="AM21" s="260"/>
      <c r="AN21" s="264"/>
      <c r="AO21" s="265"/>
      <c r="AP21" s="264"/>
      <c r="AQ21" s="370" t="s">
        <v>396</v>
      </c>
      <c r="AR21" s="262" t="s">
        <v>318</v>
      </c>
      <c r="AS21" s="262"/>
      <c r="AT21" s="262"/>
      <c r="AU21" s="262">
        <v>5.2</v>
      </c>
      <c r="AV21" s="262"/>
      <c r="AW21" s="262"/>
      <c r="AX21" s="262"/>
      <c r="AY21" s="262"/>
      <c r="AZ21" s="262" t="s">
        <v>323</v>
      </c>
      <c r="BA21" s="260"/>
      <c r="BB21" s="262">
        <v>0</v>
      </c>
      <c r="BC21" s="262">
        <v>0</v>
      </c>
      <c r="BD21" s="262">
        <v>2</v>
      </c>
      <c r="BE21" s="262">
        <v>0</v>
      </c>
      <c r="BF21" s="262">
        <v>0</v>
      </c>
      <c r="BG21" s="262">
        <v>0</v>
      </c>
      <c r="BH21" s="262">
        <v>0</v>
      </c>
      <c r="BI21" s="262">
        <v>0</v>
      </c>
      <c r="BJ21" s="262">
        <v>0</v>
      </c>
      <c r="BK21" s="262">
        <v>0</v>
      </c>
      <c r="BL21" s="262"/>
      <c r="BM21" s="262"/>
      <c r="BN21" s="262"/>
      <c r="BO21" s="262" t="s">
        <v>318</v>
      </c>
      <c r="BP21" s="371"/>
      <c r="BQ21" s="262"/>
      <c r="BR21" s="262"/>
      <c r="BS21" s="260"/>
      <c r="BT21" s="260"/>
      <c r="BU21" s="262"/>
      <c r="BV21" s="262" t="s">
        <v>318</v>
      </c>
      <c r="BW21" s="262"/>
      <c r="BX21" s="260"/>
      <c r="BY21" s="260" t="s">
        <v>644</v>
      </c>
    </row>
    <row r="22" spans="1:77" x14ac:dyDescent="0.15">
      <c r="A22" s="260">
        <v>752</v>
      </c>
      <c r="B22" s="270">
        <v>43565</v>
      </c>
      <c r="C22" s="261" t="s">
        <v>453</v>
      </c>
      <c r="D22" s="260" t="s">
        <v>454</v>
      </c>
      <c r="E22" s="260">
        <v>2</v>
      </c>
      <c r="F22" s="260" t="s">
        <v>505</v>
      </c>
      <c r="G22" s="270">
        <v>43540</v>
      </c>
      <c r="H22" s="262" t="s">
        <v>456</v>
      </c>
      <c r="I22" s="262" t="s">
        <v>457</v>
      </c>
      <c r="J22" s="262">
        <v>4</v>
      </c>
      <c r="K22" s="260" t="s">
        <v>476</v>
      </c>
      <c r="L22" s="260" t="s">
        <v>859</v>
      </c>
      <c r="M22" s="369">
        <v>104.5</v>
      </c>
      <c r="N22" s="369">
        <v>37.445454545454538</v>
      </c>
      <c r="O22" s="260"/>
      <c r="P22" s="263"/>
      <c r="Q22" s="264"/>
      <c r="R22" s="263"/>
      <c r="S22" s="264"/>
      <c r="T22" s="263"/>
      <c r="U22" s="260"/>
      <c r="V22" s="264"/>
      <c r="W22" s="264"/>
      <c r="X22" s="263"/>
      <c r="Y22" s="260"/>
      <c r="Z22" s="263"/>
      <c r="AA22" s="260"/>
      <c r="AB22" s="263"/>
      <c r="AC22" s="260"/>
      <c r="AD22" s="260"/>
      <c r="AE22" s="264"/>
      <c r="AF22" s="369">
        <v>18.18181818181818</v>
      </c>
      <c r="AG22" s="263"/>
      <c r="AH22" s="260"/>
      <c r="AI22" s="264"/>
      <c r="AJ22" s="260"/>
      <c r="AK22" s="260"/>
      <c r="AL22" s="260"/>
      <c r="AM22" s="260"/>
      <c r="AN22" s="264"/>
      <c r="AO22" s="265"/>
      <c r="AP22" s="264"/>
      <c r="AQ22" s="370" t="s">
        <v>506</v>
      </c>
      <c r="AR22" s="262" t="s">
        <v>457</v>
      </c>
      <c r="AS22" s="262"/>
      <c r="AT22" s="262"/>
      <c r="AU22" s="262">
        <v>9.35</v>
      </c>
      <c r="AV22" s="262"/>
      <c r="AW22" s="262"/>
      <c r="AX22" s="262"/>
      <c r="AY22" s="262"/>
      <c r="AZ22" s="262" t="s">
        <v>462</v>
      </c>
      <c r="BA22" s="260"/>
      <c r="BB22" s="262">
        <v>2</v>
      </c>
      <c r="BC22" s="262">
        <v>0</v>
      </c>
      <c r="BD22" s="262">
        <v>0</v>
      </c>
      <c r="BE22" s="262">
        <v>0</v>
      </c>
      <c r="BF22" s="262">
        <v>0</v>
      </c>
      <c r="BG22" s="262">
        <v>0</v>
      </c>
      <c r="BH22" s="262">
        <v>0</v>
      </c>
      <c r="BI22" s="262">
        <v>0</v>
      </c>
      <c r="BJ22" s="262">
        <v>0</v>
      </c>
      <c r="BK22" s="262">
        <v>0</v>
      </c>
      <c r="BL22" s="262"/>
      <c r="BM22" s="262"/>
      <c r="BN22" s="262">
        <v>24</v>
      </c>
      <c r="BO22" s="262" t="s">
        <v>457</v>
      </c>
      <c r="BP22" s="371"/>
      <c r="BQ22" s="262"/>
      <c r="BR22" s="262"/>
      <c r="BS22" s="260"/>
      <c r="BT22" s="260"/>
      <c r="BU22" s="262"/>
      <c r="BV22" s="262" t="s">
        <v>457</v>
      </c>
      <c r="BW22" s="262">
        <v>1</v>
      </c>
      <c r="BX22" s="260"/>
      <c r="BY22" s="260" t="s">
        <v>76</v>
      </c>
    </row>
    <row r="23" spans="1:77" x14ac:dyDescent="0.15">
      <c r="A23" s="260">
        <v>976</v>
      </c>
      <c r="B23" s="270">
        <v>43565</v>
      </c>
      <c r="C23" s="261" t="s">
        <v>861</v>
      </c>
      <c r="D23" s="260" t="s">
        <v>454</v>
      </c>
      <c r="E23" s="260">
        <v>2</v>
      </c>
      <c r="F23" s="260" t="s">
        <v>888</v>
      </c>
      <c r="G23" s="270">
        <v>43526</v>
      </c>
      <c r="H23" s="262" t="s">
        <v>863</v>
      </c>
      <c r="I23" s="262" t="s">
        <v>864</v>
      </c>
      <c r="J23" s="262">
        <v>5</v>
      </c>
      <c r="K23" s="260" t="s">
        <v>302</v>
      </c>
      <c r="L23" s="260" t="s">
        <v>521</v>
      </c>
      <c r="M23" s="369">
        <v>130</v>
      </c>
      <c r="N23" s="369">
        <v>36.354545454545452</v>
      </c>
      <c r="O23" s="260"/>
      <c r="P23" s="263"/>
      <c r="Q23" s="264"/>
      <c r="R23" s="263"/>
      <c r="S23" s="264"/>
      <c r="T23" s="263"/>
      <c r="U23" s="260"/>
      <c r="V23" s="264"/>
      <c r="W23" s="264"/>
      <c r="X23" s="263"/>
      <c r="Y23" s="260"/>
      <c r="Z23" s="263"/>
      <c r="AA23" s="260"/>
      <c r="AB23" s="263"/>
      <c r="AC23" s="260"/>
      <c r="AD23" s="260"/>
      <c r="AE23" s="264"/>
      <c r="AF23" s="369">
        <v>18</v>
      </c>
      <c r="AG23" s="263"/>
      <c r="AH23" s="260"/>
      <c r="AI23" s="264"/>
      <c r="AJ23" s="260"/>
      <c r="AK23" s="260"/>
      <c r="AL23" s="260"/>
      <c r="AM23" s="260"/>
      <c r="AN23" s="264"/>
      <c r="AO23" s="265"/>
      <c r="AP23" s="264"/>
      <c r="AQ23" s="260" t="s">
        <v>889</v>
      </c>
      <c r="AR23" s="262" t="s">
        <v>864</v>
      </c>
      <c r="AS23" s="262"/>
      <c r="AT23" s="262"/>
      <c r="AU23" s="262">
        <v>3</v>
      </c>
      <c r="AV23" s="262"/>
      <c r="AW23" s="262"/>
      <c r="AX23" s="262"/>
      <c r="AY23" s="262"/>
      <c r="AZ23" s="262" t="s">
        <v>361</v>
      </c>
      <c r="BA23" s="260"/>
      <c r="BB23" s="262">
        <v>0</v>
      </c>
      <c r="BC23" s="262">
        <v>0</v>
      </c>
      <c r="BD23" s="262">
        <v>0</v>
      </c>
      <c r="BE23" s="262">
        <v>0</v>
      </c>
      <c r="BF23" s="262">
        <v>0</v>
      </c>
      <c r="BG23" s="262">
        <v>0</v>
      </c>
      <c r="BH23" s="262">
        <v>0</v>
      </c>
      <c r="BI23" s="262">
        <v>0</v>
      </c>
      <c r="BJ23" s="262">
        <v>0</v>
      </c>
      <c r="BK23" s="262">
        <v>0</v>
      </c>
      <c r="BL23" s="262"/>
      <c r="BM23" s="262"/>
      <c r="BN23" s="262"/>
      <c r="BO23" s="262" t="s">
        <v>864</v>
      </c>
      <c r="BP23" s="371"/>
      <c r="BQ23" s="262"/>
      <c r="BR23" s="262"/>
      <c r="BS23" s="260"/>
      <c r="BT23" s="260"/>
      <c r="BU23" s="262"/>
      <c r="BV23" s="262" t="s">
        <v>864</v>
      </c>
      <c r="BW23" s="262"/>
      <c r="BX23" s="260"/>
      <c r="BY23" s="370" t="s">
        <v>76</v>
      </c>
    </row>
    <row r="24" spans="1:77" x14ac:dyDescent="0.15">
      <c r="A24" s="260">
        <v>1379</v>
      </c>
      <c r="B24" s="270">
        <v>43565</v>
      </c>
      <c r="C24" s="261" t="s">
        <v>755</v>
      </c>
      <c r="D24" s="260" t="s">
        <v>454</v>
      </c>
      <c r="E24" s="260">
        <v>2</v>
      </c>
      <c r="F24" s="260" t="s">
        <v>808</v>
      </c>
      <c r="G24" s="270">
        <v>43446</v>
      </c>
      <c r="H24" s="262" t="s">
        <v>757</v>
      </c>
      <c r="I24" s="262" t="s">
        <v>758</v>
      </c>
      <c r="J24" s="262">
        <v>6</v>
      </c>
      <c r="K24" s="260" t="s">
        <v>773</v>
      </c>
      <c r="L24" s="260" t="s">
        <v>774</v>
      </c>
      <c r="M24" s="369">
        <v>86.454545454545439</v>
      </c>
      <c r="N24" s="369">
        <v>34.381818181818183</v>
      </c>
      <c r="O24" s="260"/>
      <c r="P24" s="260"/>
      <c r="Q24" s="264"/>
      <c r="R24" s="263"/>
      <c r="S24" s="264"/>
      <c r="T24" s="263"/>
      <c r="U24" s="260"/>
      <c r="V24" s="264"/>
      <c r="W24" s="264"/>
      <c r="X24" s="260"/>
      <c r="Y24" s="260"/>
      <c r="Z24" s="263"/>
      <c r="AA24" s="260"/>
      <c r="AB24" s="263"/>
      <c r="AC24" s="260"/>
      <c r="AD24" s="260"/>
      <c r="AE24" s="264"/>
      <c r="AF24" s="369">
        <v>16.281818181818181</v>
      </c>
      <c r="AG24" s="263"/>
      <c r="AH24" s="260"/>
      <c r="AI24" s="264"/>
      <c r="AJ24" s="260"/>
      <c r="AK24" s="260"/>
      <c r="AL24" s="260"/>
      <c r="AM24" s="260"/>
      <c r="AN24" s="264"/>
      <c r="AO24" s="265"/>
      <c r="AP24" s="264"/>
      <c r="AQ24" s="260" t="s">
        <v>809</v>
      </c>
      <c r="AR24" s="262" t="s">
        <v>758</v>
      </c>
      <c r="AS24" s="262"/>
      <c r="AT24" s="262"/>
      <c r="AU24" s="262">
        <v>5</v>
      </c>
      <c r="AV24" s="262"/>
      <c r="AW24" s="262"/>
      <c r="AX24" s="262"/>
      <c r="AY24" s="262"/>
      <c r="AZ24" s="262" t="s">
        <v>762</v>
      </c>
      <c r="BA24" s="260"/>
      <c r="BB24" s="262">
        <v>0</v>
      </c>
      <c r="BC24" s="262">
        <v>0</v>
      </c>
      <c r="BD24" s="262">
        <v>0</v>
      </c>
      <c r="BE24" s="262">
        <v>0</v>
      </c>
      <c r="BF24" s="262">
        <v>0</v>
      </c>
      <c r="BG24" s="262">
        <v>0</v>
      </c>
      <c r="BH24" s="262">
        <v>0</v>
      </c>
      <c r="BI24" s="262">
        <v>0</v>
      </c>
      <c r="BJ24" s="262">
        <v>0</v>
      </c>
      <c r="BK24" s="262">
        <v>0</v>
      </c>
      <c r="BL24" s="262"/>
      <c r="BM24" s="262"/>
      <c r="BN24" s="262">
        <v>12</v>
      </c>
      <c r="BO24" s="262" t="s">
        <v>758</v>
      </c>
      <c r="BP24" s="371"/>
      <c r="BQ24" s="262"/>
      <c r="BR24" s="262"/>
      <c r="BS24" s="260"/>
      <c r="BT24" s="260"/>
      <c r="BU24" s="262"/>
      <c r="BV24" s="262" t="s">
        <v>758</v>
      </c>
      <c r="BW24" s="262"/>
      <c r="BX24" s="260"/>
      <c r="BY24" s="370" t="s">
        <v>76</v>
      </c>
    </row>
    <row r="25" spans="1:77" x14ac:dyDescent="0.15">
      <c r="A25" s="260">
        <v>1713</v>
      </c>
      <c r="B25" s="270">
        <v>43565</v>
      </c>
      <c r="C25" s="261" t="s">
        <v>861</v>
      </c>
      <c r="D25" s="260" t="s">
        <v>454</v>
      </c>
      <c r="E25" s="260">
        <v>2</v>
      </c>
      <c r="F25" s="260" t="s">
        <v>888</v>
      </c>
      <c r="G25" s="270">
        <v>43302</v>
      </c>
      <c r="H25" s="262" t="s">
        <v>863</v>
      </c>
      <c r="I25" s="262" t="s">
        <v>864</v>
      </c>
      <c r="J25" s="262">
        <v>7</v>
      </c>
      <c r="K25" s="260" t="s">
        <v>868</v>
      </c>
      <c r="L25" s="260" t="s">
        <v>525</v>
      </c>
      <c r="M25" s="369">
        <v>130</v>
      </c>
      <c r="N25" s="369">
        <v>36.354545454545452</v>
      </c>
      <c r="O25" s="260"/>
      <c r="P25" s="263"/>
      <c r="Q25" s="264"/>
      <c r="R25" s="263"/>
      <c r="S25" s="264"/>
      <c r="T25" s="260"/>
      <c r="U25" s="260"/>
      <c r="V25" s="264"/>
      <c r="W25" s="264"/>
      <c r="X25" s="260"/>
      <c r="Y25" s="260"/>
      <c r="Z25" s="260"/>
      <c r="AA25" s="260"/>
      <c r="AB25" s="260"/>
      <c r="AC25" s="260"/>
      <c r="AD25" s="260"/>
      <c r="AE25" s="264"/>
      <c r="AF25" s="369">
        <v>18</v>
      </c>
      <c r="AG25" s="263"/>
      <c r="AH25" s="260"/>
      <c r="AI25" s="264"/>
      <c r="AJ25" s="260"/>
      <c r="AK25" s="260"/>
      <c r="AL25" s="260"/>
      <c r="AM25" s="260"/>
      <c r="AN25" s="264"/>
      <c r="AO25" s="265"/>
      <c r="AP25" s="264"/>
      <c r="AQ25" s="260" t="s">
        <v>889</v>
      </c>
      <c r="AR25" s="262" t="s">
        <v>864</v>
      </c>
      <c r="AS25" s="262"/>
      <c r="AT25" s="262"/>
      <c r="AU25" s="262">
        <v>3</v>
      </c>
      <c r="AV25" s="262"/>
      <c r="AW25" s="262"/>
      <c r="AX25" s="262"/>
      <c r="AY25" s="262"/>
      <c r="AZ25" s="262" t="s">
        <v>869</v>
      </c>
      <c r="BA25" s="260"/>
      <c r="BB25" s="262">
        <v>0</v>
      </c>
      <c r="BC25" s="262">
        <v>0</v>
      </c>
      <c r="BD25" s="262">
        <v>0</v>
      </c>
      <c r="BE25" s="262">
        <v>0</v>
      </c>
      <c r="BF25" s="262">
        <v>0</v>
      </c>
      <c r="BG25" s="262">
        <v>0</v>
      </c>
      <c r="BH25" s="262">
        <v>0</v>
      </c>
      <c r="BI25" s="262">
        <v>0</v>
      </c>
      <c r="BJ25" s="262">
        <v>0</v>
      </c>
      <c r="BK25" s="262">
        <v>0</v>
      </c>
      <c r="BL25" s="262"/>
      <c r="BM25" s="262"/>
      <c r="BN25" s="262"/>
      <c r="BO25" s="262" t="s">
        <v>864</v>
      </c>
      <c r="BP25" s="371"/>
      <c r="BQ25" s="262"/>
      <c r="BR25" s="373"/>
      <c r="BS25" s="260"/>
      <c r="BT25" s="260"/>
      <c r="BU25" s="262"/>
      <c r="BV25" s="262" t="s">
        <v>864</v>
      </c>
      <c r="BW25" s="262"/>
      <c r="BX25" s="260"/>
      <c r="BY25" s="260" t="s">
        <v>891</v>
      </c>
    </row>
    <row r="26" spans="1:77" x14ac:dyDescent="0.15">
      <c r="A26" s="260">
        <v>1136</v>
      </c>
      <c r="B26" s="270">
        <v>43565</v>
      </c>
      <c r="C26" s="261" t="s">
        <v>861</v>
      </c>
      <c r="D26" s="260" t="s">
        <v>454</v>
      </c>
      <c r="E26" s="260">
        <v>2</v>
      </c>
      <c r="F26" s="260" t="s">
        <v>888</v>
      </c>
      <c r="G26" s="270">
        <v>43518</v>
      </c>
      <c r="H26" s="262" t="s">
        <v>863</v>
      </c>
      <c r="I26" s="262" t="s">
        <v>864</v>
      </c>
      <c r="J26" s="262">
        <v>8</v>
      </c>
      <c r="K26" s="260" t="s">
        <v>254</v>
      </c>
      <c r="L26" s="260" t="s">
        <v>327</v>
      </c>
      <c r="M26" s="369">
        <v>102.49999999999999</v>
      </c>
      <c r="N26" s="369">
        <v>37.518181818181816</v>
      </c>
      <c r="O26" s="260" t="s">
        <v>518</v>
      </c>
      <c r="P26" s="263">
        <v>3822</v>
      </c>
      <c r="Q26" s="369">
        <v>39.018181818181816</v>
      </c>
      <c r="R26" s="263"/>
      <c r="S26" s="264"/>
      <c r="T26" s="260"/>
      <c r="U26" s="263"/>
      <c r="V26" s="264"/>
      <c r="W26" s="264"/>
      <c r="X26" s="260"/>
      <c r="Y26" s="260"/>
      <c r="Z26" s="260"/>
      <c r="AA26" s="260"/>
      <c r="AB26" s="260"/>
      <c r="AC26" s="260"/>
      <c r="AD26" s="260"/>
      <c r="AE26" s="264"/>
      <c r="AF26" s="369">
        <v>18.18181818181818</v>
      </c>
      <c r="AG26" s="263"/>
      <c r="AH26" s="260"/>
      <c r="AI26" s="264"/>
      <c r="AJ26" s="260"/>
      <c r="AK26" s="260"/>
      <c r="AL26" s="260"/>
      <c r="AM26" s="260"/>
      <c r="AN26" s="264"/>
      <c r="AO26" s="265"/>
      <c r="AP26" s="264"/>
      <c r="AQ26" s="370" t="s">
        <v>889</v>
      </c>
      <c r="AR26" s="262" t="s">
        <v>864</v>
      </c>
      <c r="AS26" s="262"/>
      <c r="AT26" s="262"/>
      <c r="AU26" s="262">
        <v>6</v>
      </c>
      <c r="AV26" s="262"/>
      <c r="AW26" s="262"/>
      <c r="AX26" s="262"/>
      <c r="AY26" s="262"/>
      <c r="AZ26" s="262" t="s">
        <v>153</v>
      </c>
      <c r="BA26" s="260"/>
      <c r="BB26" s="262">
        <v>6</v>
      </c>
      <c r="BC26" s="262">
        <v>0</v>
      </c>
      <c r="BD26" s="262">
        <v>0</v>
      </c>
      <c r="BE26" s="262">
        <v>0</v>
      </c>
      <c r="BF26" s="262">
        <v>0</v>
      </c>
      <c r="BG26" s="262">
        <v>0</v>
      </c>
      <c r="BH26" s="262">
        <v>0</v>
      </c>
      <c r="BI26" s="262">
        <v>0</v>
      </c>
      <c r="BJ26" s="262">
        <v>0</v>
      </c>
      <c r="BK26" s="262">
        <v>0</v>
      </c>
      <c r="BL26" s="262"/>
      <c r="BM26" s="262"/>
      <c r="BN26" s="262"/>
      <c r="BO26" s="262" t="s">
        <v>864</v>
      </c>
      <c r="BP26" s="371"/>
      <c r="BQ26" s="262"/>
      <c r="BR26" s="373"/>
      <c r="BS26" s="260"/>
      <c r="BT26" s="260"/>
      <c r="BU26" s="262"/>
      <c r="BV26" s="262" t="s">
        <v>864</v>
      </c>
      <c r="BW26" s="262"/>
      <c r="BX26" s="260"/>
      <c r="BY26" s="308" t="s">
        <v>76</v>
      </c>
    </row>
    <row r="27" spans="1:77" x14ac:dyDescent="0.15">
      <c r="A27" s="260">
        <v>1500</v>
      </c>
      <c r="B27" s="270">
        <v>43565</v>
      </c>
      <c r="C27" s="261" t="s">
        <v>755</v>
      </c>
      <c r="D27" s="260" t="s">
        <v>454</v>
      </c>
      <c r="E27" s="260">
        <v>2</v>
      </c>
      <c r="F27" s="260" t="s">
        <v>808</v>
      </c>
      <c r="G27" s="270">
        <v>43266</v>
      </c>
      <c r="H27" s="262" t="s">
        <v>757</v>
      </c>
      <c r="I27" s="262" t="s">
        <v>758</v>
      </c>
      <c r="J27" s="262">
        <v>9</v>
      </c>
      <c r="K27" s="260" t="s">
        <v>495</v>
      </c>
      <c r="L27" s="260" t="s">
        <v>781</v>
      </c>
      <c r="M27" s="369">
        <v>138.6181818181818</v>
      </c>
      <c r="N27" s="369">
        <v>37.25454545454545</v>
      </c>
      <c r="O27" s="260"/>
      <c r="P27" s="263"/>
      <c r="Q27" s="264"/>
      <c r="R27" s="263"/>
      <c r="S27" s="264"/>
      <c r="T27" s="260"/>
      <c r="U27" s="260"/>
      <c r="V27" s="264"/>
      <c r="W27" s="264"/>
      <c r="X27" s="260"/>
      <c r="Y27" s="260"/>
      <c r="Z27" s="260"/>
      <c r="AA27" s="260"/>
      <c r="AB27" s="260"/>
      <c r="AC27" s="260"/>
      <c r="AD27" s="260"/>
      <c r="AE27" s="264"/>
      <c r="AF27" s="369">
        <v>18.454545454545453</v>
      </c>
      <c r="AG27" s="263"/>
      <c r="AH27" s="260"/>
      <c r="AI27" s="264"/>
      <c r="AJ27" s="260"/>
      <c r="AK27" s="260"/>
      <c r="AL27" s="260"/>
      <c r="AM27" s="260"/>
      <c r="AN27" s="264"/>
      <c r="AO27" s="265"/>
      <c r="AP27" s="264"/>
      <c r="AQ27" s="260" t="s">
        <v>809</v>
      </c>
      <c r="AR27" s="262" t="s">
        <v>758</v>
      </c>
      <c r="AS27" s="262"/>
      <c r="AT27" s="262"/>
      <c r="AU27" s="262">
        <v>3</v>
      </c>
      <c r="AV27" s="262"/>
      <c r="AW27" s="262"/>
      <c r="AX27" s="262"/>
      <c r="AY27" s="262"/>
      <c r="AZ27" s="262" t="s">
        <v>762</v>
      </c>
      <c r="BA27" s="260"/>
      <c r="BB27" s="262">
        <v>0</v>
      </c>
      <c r="BC27" s="262">
        <v>0</v>
      </c>
      <c r="BD27" s="262">
        <v>0</v>
      </c>
      <c r="BE27" s="262">
        <v>0</v>
      </c>
      <c r="BF27" s="262">
        <v>0</v>
      </c>
      <c r="BG27" s="262">
        <v>0</v>
      </c>
      <c r="BH27" s="262">
        <v>0</v>
      </c>
      <c r="BI27" s="262">
        <v>0</v>
      </c>
      <c r="BJ27" s="262">
        <v>0</v>
      </c>
      <c r="BK27" s="262">
        <v>0</v>
      </c>
      <c r="BL27" s="262"/>
      <c r="BM27" s="262"/>
      <c r="BN27" s="262"/>
      <c r="BO27" s="262" t="s">
        <v>758</v>
      </c>
      <c r="BP27" s="371"/>
      <c r="BQ27" s="262"/>
      <c r="BR27" s="262"/>
      <c r="BS27" s="260"/>
      <c r="BT27" s="260"/>
      <c r="BU27" s="262"/>
      <c r="BV27" s="262" t="s">
        <v>758</v>
      </c>
      <c r="BW27" s="262">
        <v>1</v>
      </c>
      <c r="BX27" s="266"/>
      <c r="BY27" s="379" t="s">
        <v>893</v>
      </c>
    </row>
    <row r="28" spans="1:77" x14ac:dyDescent="0.15">
      <c r="A28" s="260">
        <v>590</v>
      </c>
      <c r="B28" s="270">
        <v>43565</v>
      </c>
      <c r="C28" s="261" t="s">
        <v>453</v>
      </c>
      <c r="D28" s="260" t="s">
        <v>454</v>
      </c>
      <c r="E28" s="260">
        <v>2</v>
      </c>
      <c r="F28" s="260" t="s">
        <v>505</v>
      </c>
      <c r="G28" s="270">
        <v>43504</v>
      </c>
      <c r="H28" s="262" t="s">
        <v>456</v>
      </c>
      <c r="I28" s="262" t="s">
        <v>457</v>
      </c>
      <c r="J28" s="262">
        <v>10</v>
      </c>
      <c r="K28" s="260" t="s">
        <v>875</v>
      </c>
      <c r="L28" s="260" t="s">
        <v>595</v>
      </c>
      <c r="M28" s="369">
        <v>75.454545454545453</v>
      </c>
      <c r="N28" s="369">
        <v>32.727272727272727</v>
      </c>
      <c r="O28" s="260"/>
      <c r="P28" s="263"/>
      <c r="Q28" s="264"/>
      <c r="R28" s="263"/>
      <c r="S28" s="264"/>
      <c r="T28" s="263"/>
      <c r="U28" s="260"/>
      <c r="V28" s="264"/>
      <c r="W28" s="264"/>
      <c r="X28" s="263"/>
      <c r="Y28" s="260"/>
      <c r="Z28" s="263"/>
      <c r="AA28" s="260"/>
      <c r="AB28" s="263"/>
      <c r="AC28" s="260"/>
      <c r="AD28" s="260"/>
      <c r="AE28" s="264"/>
      <c r="AF28" s="369">
        <v>23.636363636363633</v>
      </c>
      <c r="AG28" s="263"/>
      <c r="AH28" s="260"/>
      <c r="AI28" s="264"/>
      <c r="AJ28" s="260"/>
      <c r="AK28" s="260"/>
      <c r="AL28" s="260"/>
      <c r="AM28" s="260"/>
      <c r="AN28" s="264"/>
      <c r="AO28" s="265"/>
      <c r="AP28" s="264"/>
      <c r="AQ28" s="260" t="s">
        <v>506</v>
      </c>
      <c r="AR28" s="262" t="s">
        <v>457</v>
      </c>
      <c r="AS28" s="262"/>
      <c r="AT28" s="262"/>
      <c r="AU28" s="262">
        <v>9</v>
      </c>
      <c r="AV28" s="262" t="s">
        <v>876</v>
      </c>
      <c r="AW28" s="262">
        <v>10</v>
      </c>
      <c r="AX28" s="262"/>
      <c r="AY28" s="262">
        <v>6.5</v>
      </c>
      <c r="AZ28" s="262" t="s">
        <v>462</v>
      </c>
      <c r="BA28" s="260"/>
      <c r="BB28" s="262">
        <v>0</v>
      </c>
      <c r="BC28" s="262">
        <v>0</v>
      </c>
      <c r="BD28" s="262">
        <v>0</v>
      </c>
      <c r="BE28" s="262">
        <v>0</v>
      </c>
      <c r="BF28" s="262">
        <v>0</v>
      </c>
      <c r="BG28" s="262">
        <v>0</v>
      </c>
      <c r="BH28" s="262">
        <v>0</v>
      </c>
      <c r="BI28" s="262">
        <v>0</v>
      </c>
      <c r="BJ28" s="262">
        <v>0</v>
      </c>
      <c r="BK28" s="262">
        <v>0</v>
      </c>
      <c r="BL28" s="262"/>
      <c r="BM28" s="262"/>
      <c r="BN28" s="262"/>
      <c r="BO28" s="262" t="s">
        <v>457</v>
      </c>
      <c r="BP28" s="375">
        <v>163.58181818181816</v>
      </c>
      <c r="BQ28" s="262"/>
      <c r="BR28" s="373"/>
      <c r="BS28" s="266"/>
      <c r="BT28" s="266"/>
      <c r="BU28" s="266"/>
      <c r="BV28" s="262" t="s">
        <v>457</v>
      </c>
      <c r="BW28" s="262"/>
      <c r="BX28" s="260"/>
      <c r="BY28" s="260" t="s">
        <v>76</v>
      </c>
    </row>
    <row r="29" spans="1:77" x14ac:dyDescent="0.15">
      <c r="A29" s="260">
        <v>2033</v>
      </c>
      <c r="B29" s="270">
        <v>43565</v>
      </c>
      <c r="C29" s="261" t="s">
        <v>191</v>
      </c>
      <c r="D29" s="260" t="s">
        <v>454</v>
      </c>
      <c r="E29" s="260">
        <v>2</v>
      </c>
      <c r="F29" s="260" t="s">
        <v>193</v>
      </c>
      <c r="G29" s="270">
        <v>43273</v>
      </c>
      <c r="H29" s="262" t="s">
        <v>863</v>
      </c>
      <c r="I29" s="262" t="s">
        <v>864</v>
      </c>
      <c r="J29" s="262">
        <v>11</v>
      </c>
      <c r="K29" s="260" t="s">
        <v>691</v>
      </c>
      <c r="L29" s="260" t="s">
        <v>791</v>
      </c>
      <c r="M29" s="369">
        <v>138.37272727272727</v>
      </c>
      <c r="N29" s="369">
        <v>40.518181818181816</v>
      </c>
      <c r="O29" s="260"/>
      <c r="P29" s="263"/>
      <c r="Q29" s="264"/>
      <c r="R29" s="263"/>
      <c r="S29" s="264"/>
      <c r="T29" s="263"/>
      <c r="U29" s="260"/>
      <c r="V29" s="264"/>
      <c r="W29" s="264"/>
      <c r="X29" s="260"/>
      <c r="Y29" s="260"/>
      <c r="Z29" s="260"/>
      <c r="AA29" s="260"/>
      <c r="AB29" s="260"/>
      <c r="AC29" s="260"/>
      <c r="AD29" s="260"/>
      <c r="AE29" s="264"/>
      <c r="AF29" s="369">
        <v>32.372727272727268</v>
      </c>
      <c r="AG29" s="263"/>
      <c r="AH29" s="260"/>
      <c r="AI29" s="264"/>
      <c r="AJ29" s="260"/>
      <c r="AK29" s="260"/>
      <c r="AL29" s="260"/>
      <c r="AM29" s="260"/>
      <c r="AN29" s="264"/>
      <c r="AO29" s="265"/>
      <c r="AP29" s="264"/>
      <c r="AQ29" s="260" t="s">
        <v>162</v>
      </c>
      <c r="AR29" s="262" t="s">
        <v>153</v>
      </c>
      <c r="AS29" s="262"/>
      <c r="AT29" s="262"/>
      <c r="AU29" s="262"/>
      <c r="AV29" s="262"/>
      <c r="AW29" s="262"/>
      <c r="AX29" s="262"/>
      <c r="AY29" s="262"/>
      <c r="AZ29" s="262" t="s">
        <v>869</v>
      </c>
      <c r="BA29" s="260"/>
      <c r="BB29" s="262">
        <v>0</v>
      </c>
      <c r="BC29" s="262">
        <v>0</v>
      </c>
      <c r="BD29" s="262">
        <v>0</v>
      </c>
      <c r="BE29" s="262">
        <v>0</v>
      </c>
      <c r="BF29" s="262">
        <v>0</v>
      </c>
      <c r="BG29" s="262">
        <v>0</v>
      </c>
      <c r="BH29" s="262">
        <v>0</v>
      </c>
      <c r="BI29" s="262">
        <v>0</v>
      </c>
      <c r="BJ29" s="262">
        <v>0</v>
      </c>
      <c r="BK29" s="262">
        <v>0</v>
      </c>
      <c r="BL29" s="262"/>
      <c r="BM29" s="262"/>
      <c r="BN29" s="262"/>
      <c r="BO29" s="262" t="s">
        <v>153</v>
      </c>
      <c r="BP29" s="371"/>
      <c r="BQ29" s="262"/>
      <c r="BR29" s="262"/>
      <c r="BS29" s="266"/>
      <c r="BT29" s="266"/>
      <c r="BU29" s="262"/>
      <c r="BV29" s="262" t="s">
        <v>153</v>
      </c>
      <c r="BW29" s="262">
        <v>1</v>
      </c>
      <c r="BX29" s="260"/>
      <c r="BY29" s="260" t="s">
        <v>76</v>
      </c>
    </row>
    <row r="30" spans="1:77" x14ac:dyDescent="0.15">
      <c r="A30" s="260">
        <v>2099</v>
      </c>
      <c r="B30" s="270">
        <v>43565</v>
      </c>
      <c r="C30" s="261" t="s">
        <v>755</v>
      </c>
      <c r="D30" s="260" t="s">
        <v>454</v>
      </c>
      <c r="E30" s="260">
        <v>2</v>
      </c>
      <c r="F30" s="260" t="s">
        <v>808</v>
      </c>
      <c r="G30" s="267">
        <v>43558</v>
      </c>
      <c r="H30" s="262" t="s">
        <v>175</v>
      </c>
      <c r="I30" s="262" t="s">
        <v>174</v>
      </c>
      <c r="J30" s="262">
        <v>12</v>
      </c>
      <c r="K30" s="260" t="s">
        <v>794</v>
      </c>
      <c r="L30" s="260" t="s">
        <v>734</v>
      </c>
      <c r="M30" s="369">
        <v>102.55454545454545</v>
      </c>
      <c r="N30" s="369">
        <v>40.799999999999997</v>
      </c>
      <c r="O30" s="260"/>
      <c r="P30" s="263"/>
      <c r="Q30" s="264"/>
      <c r="R30" s="263"/>
      <c r="S30" s="264"/>
      <c r="T30" s="263"/>
      <c r="U30" s="260"/>
      <c r="V30" s="264"/>
      <c r="W30" s="264"/>
      <c r="X30" s="260"/>
      <c r="Y30" s="260"/>
      <c r="Z30" s="260"/>
      <c r="AA30" s="260"/>
      <c r="AB30" s="260"/>
      <c r="AC30" s="260"/>
      <c r="AD30" s="260"/>
      <c r="AE30" s="264"/>
      <c r="AF30" s="369">
        <v>19.318181818181817</v>
      </c>
      <c r="AG30" s="263"/>
      <c r="AH30" s="260"/>
      <c r="AI30" s="264"/>
      <c r="AJ30" s="260"/>
      <c r="AK30" s="260"/>
      <c r="AL30" s="260"/>
      <c r="AM30" s="260"/>
      <c r="AN30" s="264"/>
      <c r="AO30" s="265"/>
      <c r="AP30" s="264"/>
      <c r="AQ30" s="370" t="s">
        <v>809</v>
      </c>
      <c r="AR30" s="262" t="s">
        <v>758</v>
      </c>
      <c r="AS30" s="262"/>
      <c r="AT30" s="262"/>
      <c r="AU30" s="262">
        <v>5.5</v>
      </c>
      <c r="AV30" s="262"/>
      <c r="AW30" s="262"/>
      <c r="AX30" s="262"/>
      <c r="AY30" s="262"/>
      <c r="AZ30" s="262" t="s">
        <v>361</v>
      </c>
      <c r="BA30" s="260"/>
      <c r="BB30" s="262">
        <v>0</v>
      </c>
      <c r="BC30" s="262">
        <v>0</v>
      </c>
      <c r="BD30" s="262">
        <v>0</v>
      </c>
      <c r="BE30" s="262">
        <v>0</v>
      </c>
      <c r="BF30" s="262">
        <v>0</v>
      </c>
      <c r="BG30" s="262">
        <v>0</v>
      </c>
      <c r="BH30" s="262">
        <v>0</v>
      </c>
      <c r="BI30" s="262">
        <v>0</v>
      </c>
      <c r="BJ30" s="262">
        <v>0</v>
      </c>
      <c r="BK30" s="262">
        <v>0</v>
      </c>
      <c r="BL30" s="262"/>
      <c r="BM30" s="262"/>
      <c r="BN30" s="262"/>
      <c r="BO30" s="262" t="s">
        <v>758</v>
      </c>
      <c r="BP30" s="371"/>
      <c r="BQ30" s="262"/>
      <c r="BR30" s="262"/>
      <c r="BS30" s="266" t="s">
        <v>878</v>
      </c>
      <c r="BT30" s="266" t="s">
        <v>195</v>
      </c>
      <c r="BU30" s="262">
        <v>50</v>
      </c>
      <c r="BV30" s="262" t="s">
        <v>758</v>
      </c>
      <c r="BW30" s="262"/>
      <c r="BX30" s="266" t="s">
        <v>879</v>
      </c>
      <c r="BY30" s="260" t="s">
        <v>76</v>
      </c>
    </row>
    <row r="31" spans="1:77" x14ac:dyDescent="0.15">
      <c r="A31" s="260">
        <v>515</v>
      </c>
      <c r="B31" s="270">
        <v>43565</v>
      </c>
      <c r="C31" s="261" t="s">
        <v>191</v>
      </c>
      <c r="D31" s="260" t="s">
        <v>454</v>
      </c>
      <c r="E31" s="260">
        <v>2</v>
      </c>
      <c r="F31" s="260" t="s">
        <v>193</v>
      </c>
      <c r="G31" s="267">
        <v>43417</v>
      </c>
      <c r="H31" s="262" t="s">
        <v>150</v>
      </c>
      <c r="I31" s="262" t="s">
        <v>153</v>
      </c>
      <c r="J31" s="262">
        <v>13</v>
      </c>
      <c r="K31" s="260" t="s">
        <v>881</v>
      </c>
      <c r="L31" s="260" t="s">
        <v>916</v>
      </c>
      <c r="M31" s="369">
        <v>140</v>
      </c>
      <c r="N31" s="369">
        <v>36.154545454545456</v>
      </c>
      <c r="O31" s="260"/>
      <c r="P31" s="263"/>
      <c r="Q31" s="264"/>
      <c r="R31" s="263"/>
      <c r="S31" s="264"/>
      <c r="T31" s="263"/>
      <c r="U31" s="260"/>
      <c r="V31" s="264"/>
      <c r="W31" s="264"/>
      <c r="X31" s="260"/>
      <c r="Y31" s="260"/>
      <c r="Z31" s="260"/>
      <c r="AA31" s="260"/>
      <c r="AB31" s="260"/>
      <c r="AC31" s="260"/>
      <c r="AD31" s="260"/>
      <c r="AE31" s="264"/>
      <c r="AF31" s="369">
        <v>18.481818181818177</v>
      </c>
      <c r="AG31" s="263"/>
      <c r="AH31" s="260"/>
      <c r="AI31" s="264"/>
      <c r="AJ31" s="260"/>
      <c r="AK31" s="260"/>
      <c r="AL31" s="260"/>
      <c r="AM31" s="260"/>
      <c r="AN31" s="264"/>
      <c r="AO31" s="265"/>
      <c r="AP31" s="264"/>
      <c r="AQ31" s="370" t="s">
        <v>162</v>
      </c>
      <c r="AR31" s="262" t="s">
        <v>153</v>
      </c>
      <c r="AS31" s="262"/>
      <c r="AT31" s="262"/>
      <c r="AU31" s="262">
        <v>8</v>
      </c>
      <c r="AV31" s="262"/>
      <c r="AW31" s="262"/>
      <c r="AX31" s="262"/>
      <c r="AY31" s="262"/>
      <c r="AZ31" s="262" t="s">
        <v>153</v>
      </c>
      <c r="BA31" s="260"/>
      <c r="BB31" s="262">
        <v>0</v>
      </c>
      <c r="BC31" s="262">
        <v>0</v>
      </c>
      <c r="BD31" s="262">
        <v>0</v>
      </c>
      <c r="BE31" s="262">
        <v>0</v>
      </c>
      <c r="BF31" s="262">
        <v>0</v>
      </c>
      <c r="BG31" s="262">
        <v>0</v>
      </c>
      <c r="BH31" s="262">
        <v>0</v>
      </c>
      <c r="BI31" s="262">
        <v>0</v>
      </c>
      <c r="BJ31" s="262">
        <v>0</v>
      </c>
      <c r="BK31" s="262">
        <v>0</v>
      </c>
      <c r="BL31" s="262"/>
      <c r="BM31" s="262"/>
      <c r="BN31" s="262"/>
      <c r="BO31" s="262" t="s">
        <v>153</v>
      </c>
      <c r="BP31" s="371"/>
      <c r="BQ31" s="262"/>
      <c r="BR31" s="262"/>
      <c r="BS31" s="266"/>
      <c r="BT31" s="266"/>
      <c r="BU31" s="262"/>
      <c r="BV31" s="262" t="s">
        <v>153</v>
      </c>
      <c r="BW31" s="262">
        <v>1</v>
      </c>
      <c r="BX31" s="260"/>
      <c r="BY31" s="260" t="s">
        <v>922</v>
      </c>
    </row>
    <row r="32" spans="1:77" x14ac:dyDescent="0.15">
      <c r="A32" s="260">
        <v>281</v>
      </c>
      <c r="B32" s="270">
        <v>43565</v>
      </c>
      <c r="C32" s="261" t="s">
        <v>755</v>
      </c>
      <c r="D32" s="260" t="s">
        <v>454</v>
      </c>
      <c r="E32" s="260">
        <v>2</v>
      </c>
      <c r="F32" s="260" t="s">
        <v>808</v>
      </c>
      <c r="G32" s="267">
        <v>43384</v>
      </c>
      <c r="H32" s="262" t="s">
        <v>175</v>
      </c>
      <c r="I32" s="262" t="s">
        <v>174</v>
      </c>
      <c r="J32" s="262">
        <v>15</v>
      </c>
      <c r="K32" s="260" t="s">
        <v>802</v>
      </c>
      <c r="L32" s="260" t="s">
        <v>884</v>
      </c>
      <c r="M32" s="369">
        <v>137.68181818181816</v>
      </c>
      <c r="N32" s="369">
        <v>35.454545454545453</v>
      </c>
      <c r="O32" s="260"/>
      <c r="P32" s="263"/>
      <c r="Q32" s="264"/>
      <c r="R32" s="263"/>
      <c r="S32" s="264"/>
      <c r="T32" s="263"/>
      <c r="U32" s="260"/>
      <c r="V32" s="264"/>
      <c r="W32" s="264"/>
      <c r="X32" s="260"/>
      <c r="Y32" s="260"/>
      <c r="Z32" s="260"/>
      <c r="AA32" s="260"/>
      <c r="AB32" s="260"/>
      <c r="AC32" s="260"/>
      <c r="AD32" s="260"/>
      <c r="AE32" s="264"/>
      <c r="AF32" s="369">
        <v>18.318181818181817</v>
      </c>
      <c r="AG32" s="263"/>
      <c r="AH32" s="260"/>
      <c r="AI32" s="264"/>
      <c r="AJ32" s="260"/>
      <c r="AK32" s="260"/>
      <c r="AL32" s="260"/>
      <c r="AM32" s="260"/>
      <c r="AN32" s="264"/>
      <c r="AO32" s="265"/>
      <c r="AP32" s="264"/>
      <c r="AQ32" s="370" t="s">
        <v>809</v>
      </c>
      <c r="AR32" s="262" t="s">
        <v>758</v>
      </c>
      <c r="AS32" s="262"/>
      <c r="AT32" s="262"/>
      <c r="AU32" s="262">
        <v>7</v>
      </c>
      <c r="AV32" s="262"/>
      <c r="AW32" s="262"/>
      <c r="AX32" s="262"/>
      <c r="AY32" s="262"/>
      <c r="AZ32" s="262" t="s">
        <v>758</v>
      </c>
      <c r="BA32" s="260"/>
      <c r="BB32" s="262">
        <v>0</v>
      </c>
      <c r="BC32" s="262">
        <v>0</v>
      </c>
      <c r="BD32" s="262">
        <v>0</v>
      </c>
      <c r="BE32" s="262">
        <v>0</v>
      </c>
      <c r="BF32" s="262">
        <v>0</v>
      </c>
      <c r="BG32" s="262">
        <v>0</v>
      </c>
      <c r="BH32" s="262">
        <v>0</v>
      </c>
      <c r="BI32" s="262">
        <v>0</v>
      </c>
      <c r="BJ32" s="262">
        <v>0</v>
      </c>
      <c r="BK32" s="262">
        <v>0</v>
      </c>
      <c r="BL32" s="262"/>
      <c r="BM32" s="262"/>
      <c r="BN32" s="262"/>
      <c r="BO32" s="262" t="s">
        <v>758</v>
      </c>
      <c r="BP32" s="371"/>
      <c r="BQ32" s="262"/>
      <c r="BR32" s="262"/>
      <c r="BS32" s="260"/>
      <c r="BT32" s="260"/>
      <c r="BU32" s="262"/>
      <c r="BV32" s="262" t="s">
        <v>758</v>
      </c>
      <c r="BW32" s="262">
        <v>1</v>
      </c>
      <c r="BX32" s="260"/>
      <c r="BY32" s="372" t="s">
        <v>923</v>
      </c>
    </row>
    <row r="33" spans="1:77" x14ac:dyDescent="0.15">
      <c r="A33" s="260">
        <v>2219</v>
      </c>
      <c r="B33" s="270">
        <v>43565</v>
      </c>
      <c r="C33" s="261" t="s">
        <v>453</v>
      </c>
      <c r="D33" s="260" t="s">
        <v>454</v>
      </c>
      <c r="E33" s="260">
        <v>2</v>
      </c>
      <c r="F33" s="260" t="s">
        <v>505</v>
      </c>
      <c r="G33" s="270">
        <v>43543</v>
      </c>
      <c r="H33" s="262" t="s">
        <v>456</v>
      </c>
      <c r="I33" s="262" t="s">
        <v>457</v>
      </c>
      <c r="J33" s="262">
        <v>16</v>
      </c>
      <c r="K33" s="260" t="s">
        <v>303</v>
      </c>
      <c r="L33" s="260" t="s">
        <v>919</v>
      </c>
      <c r="M33" s="369">
        <v>159.69999999999999</v>
      </c>
      <c r="N33" s="369">
        <v>34.9</v>
      </c>
      <c r="O33" s="260"/>
      <c r="P33" s="263"/>
      <c r="Q33" s="264"/>
      <c r="R33" s="263"/>
      <c r="S33" s="264"/>
      <c r="T33" s="263"/>
      <c r="U33" s="260"/>
      <c r="V33" s="264"/>
      <c r="W33" s="264"/>
      <c r="X33" s="263"/>
      <c r="Y33" s="260"/>
      <c r="Z33" s="263"/>
      <c r="AA33" s="260"/>
      <c r="AB33" s="263"/>
      <c r="AC33" s="260"/>
      <c r="AD33" s="260"/>
      <c r="AE33" s="264"/>
      <c r="AF33" s="369">
        <v>18.399999999999999</v>
      </c>
      <c r="AG33" s="263"/>
      <c r="AH33" s="260"/>
      <c r="AI33" s="264"/>
      <c r="AJ33" s="260"/>
      <c r="AK33" s="260"/>
      <c r="AL33" s="260"/>
      <c r="AM33" s="260"/>
      <c r="AN33" s="264"/>
      <c r="AO33" s="265"/>
      <c r="AP33" s="264"/>
      <c r="AQ33" s="260" t="s">
        <v>506</v>
      </c>
      <c r="AR33" s="262" t="s">
        <v>457</v>
      </c>
      <c r="AS33" s="262"/>
      <c r="AT33" s="262"/>
      <c r="AU33" s="262">
        <v>6.8</v>
      </c>
      <c r="AV33" s="262"/>
      <c r="AW33" s="262"/>
      <c r="AX33" s="262"/>
      <c r="AY33" s="262"/>
      <c r="AZ33" s="262" t="s">
        <v>462</v>
      </c>
      <c r="BA33" s="260"/>
      <c r="BB33" s="262">
        <v>0</v>
      </c>
      <c r="BC33" s="262">
        <v>0</v>
      </c>
      <c r="BD33" s="262">
        <v>0</v>
      </c>
      <c r="BE33" s="262">
        <v>0</v>
      </c>
      <c r="BF33" s="262">
        <v>0</v>
      </c>
      <c r="BG33" s="262">
        <v>0</v>
      </c>
      <c r="BH33" s="262">
        <v>0</v>
      </c>
      <c r="BI33" s="262">
        <v>0</v>
      </c>
      <c r="BJ33" s="262">
        <v>0</v>
      </c>
      <c r="BK33" s="262">
        <v>0</v>
      </c>
      <c r="BL33" s="262"/>
      <c r="BM33" s="262"/>
      <c r="BN33" s="262"/>
      <c r="BO33" s="262" t="s">
        <v>457</v>
      </c>
      <c r="BP33" s="371"/>
      <c r="BQ33" s="262"/>
      <c r="BR33" s="262"/>
      <c r="BS33" s="260"/>
      <c r="BT33" s="260"/>
      <c r="BU33" s="262"/>
      <c r="BV33" s="262" t="s">
        <v>457</v>
      </c>
      <c r="BW33" s="262"/>
      <c r="BX33" s="260"/>
      <c r="BY33" s="260" t="s">
        <v>924</v>
      </c>
    </row>
    <row r="34" spans="1:77" x14ac:dyDescent="0.15">
      <c r="A34" s="260">
        <v>1</v>
      </c>
      <c r="B34" s="270">
        <v>43565</v>
      </c>
      <c r="C34" s="261" t="s">
        <v>453</v>
      </c>
      <c r="D34" s="260" t="s">
        <v>454</v>
      </c>
      <c r="E34" s="260">
        <v>2</v>
      </c>
      <c r="F34" s="260" t="s">
        <v>505</v>
      </c>
      <c r="G34" s="270">
        <v>43539</v>
      </c>
      <c r="H34" s="262" t="s">
        <v>456</v>
      </c>
      <c r="I34" s="262" t="s">
        <v>457</v>
      </c>
      <c r="J34" s="262">
        <v>17</v>
      </c>
      <c r="K34" s="260" t="s">
        <v>805</v>
      </c>
      <c r="L34" s="260" t="s">
        <v>806</v>
      </c>
      <c r="M34" s="369">
        <v>121.99999999999999</v>
      </c>
      <c r="N34" s="369">
        <v>36.009090909090908</v>
      </c>
      <c r="O34" s="260"/>
      <c r="P34" s="263"/>
      <c r="Q34" s="264"/>
      <c r="R34" s="263"/>
      <c r="S34" s="264"/>
      <c r="T34" s="263"/>
      <c r="U34" s="260"/>
      <c r="V34" s="264"/>
      <c r="W34" s="264"/>
      <c r="X34" s="263"/>
      <c r="Y34" s="260"/>
      <c r="Z34" s="263"/>
      <c r="AA34" s="260"/>
      <c r="AB34" s="263"/>
      <c r="AC34" s="260"/>
      <c r="AD34" s="260"/>
      <c r="AE34" s="264"/>
      <c r="AF34" s="369">
        <v>27.68181818181818</v>
      </c>
      <c r="AG34" s="263"/>
      <c r="AH34" s="260"/>
      <c r="AI34" s="264"/>
      <c r="AJ34" s="260"/>
      <c r="AK34" s="260"/>
      <c r="AL34" s="260"/>
      <c r="AM34" s="260"/>
      <c r="AN34" s="264"/>
      <c r="AO34" s="265"/>
      <c r="AP34" s="264"/>
      <c r="AQ34" s="370" t="s">
        <v>506</v>
      </c>
      <c r="AR34" s="262" t="s">
        <v>457</v>
      </c>
      <c r="AS34" s="262"/>
      <c r="AT34" s="262"/>
      <c r="AU34" s="262">
        <v>7</v>
      </c>
      <c r="AV34" s="262"/>
      <c r="AW34" s="262"/>
      <c r="AX34" s="262"/>
      <c r="AY34" s="262"/>
      <c r="AZ34" s="262" t="s">
        <v>457</v>
      </c>
      <c r="BA34" s="260"/>
      <c r="BB34" s="262">
        <v>0</v>
      </c>
      <c r="BC34" s="262">
        <v>0</v>
      </c>
      <c r="BD34" s="262">
        <v>0</v>
      </c>
      <c r="BE34" s="262">
        <v>0</v>
      </c>
      <c r="BF34" s="262">
        <v>0</v>
      </c>
      <c r="BG34" s="262">
        <v>0</v>
      </c>
      <c r="BH34" s="262">
        <v>0</v>
      </c>
      <c r="BI34" s="262">
        <v>0</v>
      </c>
      <c r="BJ34" s="262">
        <v>0</v>
      </c>
      <c r="BK34" s="262">
        <v>0</v>
      </c>
      <c r="BL34" s="262"/>
      <c r="BM34" s="262"/>
      <c r="BN34" s="262"/>
      <c r="BO34" s="262" t="s">
        <v>457</v>
      </c>
      <c r="BP34" s="371"/>
      <c r="BQ34" s="262"/>
      <c r="BR34" s="262"/>
      <c r="BS34" s="260"/>
      <c r="BT34" s="260"/>
      <c r="BU34" s="262"/>
      <c r="BV34" s="262" t="s">
        <v>457</v>
      </c>
      <c r="BW34" s="262"/>
      <c r="BX34" s="260"/>
      <c r="BY34" s="260" t="s">
        <v>925</v>
      </c>
    </row>
    <row r="35" spans="1:77" x14ac:dyDescent="0.15">
      <c r="A35" s="260">
        <v>1916</v>
      </c>
      <c r="B35" s="270">
        <v>43565</v>
      </c>
      <c r="C35" s="261" t="s">
        <v>755</v>
      </c>
      <c r="D35" s="260" t="s">
        <v>454</v>
      </c>
      <c r="E35" s="260">
        <v>3</v>
      </c>
      <c r="F35" s="260" t="s">
        <v>750</v>
      </c>
      <c r="G35" s="270">
        <v>43465</v>
      </c>
      <c r="H35" s="262" t="s">
        <v>757</v>
      </c>
      <c r="I35" s="262" t="s">
        <v>758</v>
      </c>
      <c r="J35" s="262">
        <v>1</v>
      </c>
      <c r="K35" s="260" t="s">
        <v>759</v>
      </c>
      <c r="L35" s="260" t="s">
        <v>760</v>
      </c>
      <c r="M35" s="369">
        <v>122.2090909090909</v>
      </c>
      <c r="N35" s="369">
        <v>38.763636363636358</v>
      </c>
      <c r="O35" s="260"/>
      <c r="P35" s="263"/>
      <c r="Q35" s="264"/>
      <c r="R35" s="263"/>
      <c r="S35" s="264"/>
      <c r="T35" s="263"/>
      <c r="U35" s="260"/>
      <c r="V35" s="264"/>
      <c r="W35" s="369">
        <v>26.25454545454545</v>
      </c>
      <c r="X35" s="263"/>
      <c r="Y35" s="260"/>
      <c r="Z35" s="263"/>
      <c r="AA35" s="260"/>
      <c r="AB35" s="263"/>
      <c r="AC35" s="260"/>
      <c r="AD35" s="260"/>
      <c r="AE35" s="264"/>
      <c r="AF35" s="264"/>
      <c r="AG35" s="263"/>
      <c r="AH35" s="260"/>
      <c r="AI35" s="369">
        <v>32.272727272727273</v>
      </c>
      <c r="AJ35" s="260"/>
      <c r="AK35" s="260"/>
      <c r="AL35" s="260"/>
      <c r="AM35" s="260"/>
      <c r="AN35" s="264"/>
      <c r="AO35" s="265"/>
      <c r="AP35" s="264"/>
      <c r="AQ35" t="s">
        <v>832</v>
      </c>
      <c r="AR35" s="262" t="s">
        <v>174</v>
      </c>
      <c r="AS35" s="262"/>
      <c r="AT35" s="262"/>
      <c r="AU35" s="262">
        <v>5</v>
      </c>
      <c r="AV35" s="262"/>
      <c r="AW35" s="262"/>
      <c r="AX35" s="262"/>
      <c r="AY35" s="262"/>
      <c r="AZ35" s="262" t="s">
        <v>762</v>
      </c>
      <c r="BA35" s="260"/>
      <c r="BB35" s="262">
        <v>0</v>
      </c>
      <c r="BC35" s="262">
        <v>0</v>
      </c>
      <c r="BD35" s="262">
        <v>0</v>
      </c>
      <c r="BE35" s="262">
        <v>0</v>
      </c>
      <c r="BF35" s="262">
        <v>0</v>
      </c>
      <c r="BG35" s="262">
        <v>0</v>
      </c>
      <c r="BH35" s="262">
        <v>0</v>
      </c>
      <c r="BI35" s="262">
        <v>0</v>
      </c>
      <c r="BJ35" s="262">
        <v>0</v>
      </c>
      <c r="BK35" s="262">
        <v>0</v>
      </c>
      <c r="BL35" s="262"/>
      <c r="BM35" s="262"/>
      <c r="BN35" s="262">
        <v>12</v>
      </c>
      <c r="BO35" s="262" t="s">
        <v>758</v>
      </c>
      <c r="BP35" s="371"/>
      <c r="BQ35" s="262"/>
      <c r="BR35" s="262"/>
      <c r="BS35" s="260"/>
      <c r="BT35" s="260"/>
      <c r="BU35" s="262"/>
      <c r="BV35" s="262" t="s">
        <v>758</v>
      </c>
      <c r="BW35" s="262"/>
      <c r="BX35" s="260" t="s">
        <v>763</v>
      </c>
      <c r="BY35" s="266" t="s">
        <v>76</v>
      </c>
    </row>
    <row r="36" spans="1:77" x14ac:dyDescent="0.15">
      <c r="A36" s="260">
        <v>283</v>
      </c>
      <c r="B36" s="270">
        <v>43565</v>
      </c>
      <c r="C36" s="261" t="s">
        <v>755</v>
      </c>
      <c r="D36" s="260" t="s">
        <v>454</v>
      </c>
      <c r="E36" s="260">
        <v>3</v>
      </c>
      <c r="F36" s="260" t="s">
        <v>750</v>
      </c>
      <c r="G36" s="267">
        <v>43384</v>
      </c>
      <c r="H36" s="262" t="s">
        <v>175</v>
      </c>
      <c r="I36" s="262" t="s">
        <v>174</v>
      </c>
      <c r="J36" s="262">
        <v>15</v>
      </c>
      <c r="K36" s="260" t="s">
        <v>802</v>
      </c>
      <c r="L36" s="260" t="s">
        <v>884</v>
      </c>
      <c r="M36" s="369">
        <v>136.63636363636363</v>
      </c>
      <c r="N36" s="369">
        <v>38.636363636363633</v>
      </c>
      <c r="O36" s="260"/>
      <c r="P36" s="263"/>
      <c r="Q36" s="264"/>
      <c r="R36" s="263"/>
      <c r="S36" s="264"/>
      <c r="T36" s="263"/>
      <c r="U36" s="260"/>
      <c r="V36" s="264"/>
      <c r="W36" s="369">
        <v>24.554545454545455</v>
      </c>
      <c r="X36" s="260"/>
      <c r="Y36" s="260"/>
      <c r="Z36" s="260"/>
      <c r="AA36" s="260"/>
      <c r="AB36" s="260"/>
      <c r="AC36" s="260"/>
      <c r="AD36" s="260"/>
      <c r="AE36" s="264"/>
      <c r="AF36" s="264"/>
      <c r="AG36" s="263"/>
      <c r="AH36" s="260"/>
      <c r="AI36" s="369">
        <v>34.090909090909086</v>
      </c>
      <c r="AJ36" s="260"/>
      <c r="AK36" s="260"/>
      <c r="AL36" s="260"/>
      <c r="AM36" s="260"/>
      <c r="AN36" s="264"/>
      <c r="AO36" s="265"/>
      <c r="AP36" s="264"/>
      <c r="AQ36" s="24" t="s">
        <v>835</v>
      </c>
      <c r="AR36" s="262" t="s">
        <v>758</v>
      </c>
      <c r="AS36" s="262"/>
      <c r="AT36" s="262"/>
      <c r="AU36" s="262">
        <v>7</v>
      </c>
      <c r="AV36" s="262"/>
      <c r="AW36" s="262"/>
      <c r="AX36" s="262"/>
      <c r="AY36" s="262"/>
      <c r="AZ36" s="262" t="s">
        <v>758</v>
      </c>
      <c r="BA36" s="260"/>
      <c r="BB36" s="262">
        <v>0</v>
      </c>
      <c r="BC36" s="262">
        <v>0</v>
      </c>
      <c r="BD36" s="262">
        <v>0</v>
      </c>
      <c r="BE36" s="262">
        <v>0</v>
      </c>
      <c r="BF36" s="262">
        <v>0</v>
      </c>
      <c r="BG36" s="262">
        <v>0</v>
      </c>
      <c r="BH36" s="262">
        <v>0</v>
      </c>
      <c r="BI36" s="262">
        <v>0</v>
      </c>
      <c r="BJ36" s="262">
        <v>0</v>
      </c>
      <c r="BK36" s="262">
        <v>0</v>
      </c>
      <c r="BL36" s="262"/>
      <c r="BM36" s="262"/>
      <c r="BN36" s="262"/>
      <c r="BO36" s="262" t="s">
        <v>758</v>
      </c>
      <c r="BP36" s="371"/>
      <c r="BQ36" s="262"/>
      <c r="BR36" s="262"/>
      <c r="BS36" s="260"/>
      <c r="BT36" s="260"/>
      <c r="BU36" s="262"/>
      <c r="BV36" s="262" t="s">
        <v>758</v>
      </c>
      <c r="BW36" s="262">
        <v>1</v>
      </c>
      <c r="BX36" s="260"/>
      <c r="BY36" s="260" t="s">
        <v>926</v>
      </c>
    </row>
    <row r="37" spans="1:77" x14ac:dyDescent="0.15">
      <c r="A37" s="260">
        <v>169</v>
      </c>
      <c r="B37" s="270">
        <v>43565</v>
      </c>
      <c r="C37" s="261" t="s">
        <v>755</v>
      </c>
      <c r="D37" s="260" t="s">
        <v>454</v>
      </c>
      <c r="E37" s="260">
        <v>4</v>
      </c>
      <c r="F37" s="260" t="s">
        <v>927</v>
      </c>
      <c r="G37" s="267">
        <v>43343</v>
      </c>
      <c r="H37" s="262" t="s">
        <v>175</v>
      </c>
      <c r="I37" s="262" t="s">
        <v>174</v>
      </c>
      <c r="J37" s="262">
        <v>2</v>
      </c>
      <c r="K37" s="260" t="s">
        <v>765</v>
      </c>
      <c r="L37" s="260" t="s">
        <v>766</v>
      </c>
      <c r="M37" s="369">
        <v>93.11818181818181</v>
      </c>
      <c r="N37" s="369">
        <v>46.499999999999993</v>
      </c>
      <c r="O37" s="260"/>
      <c r="P37" s="263"/>
      <c r="Q37" s="264"/>
      <c r="R37" s="263"/>
      <c r="S37" s="264"/>
      <c r="T37" s="263"/>
      <c r="U37" s="260"/>
      <c r="V37" s="264"/>
      <c r="W37" s="369">
        <v>27.763636363636362</v>
      </c>
      <c r="X37" s="260"/>
      <c r="Y37" s="260"/>
      <c r="Z37" s="260"/>
      <c r="AA37" s="260"/>
      <c r="AB37" s="260"/>
      <c r="AC37" s="260"/>
      <c r="AD37" s="260"/>
      <c r="AE37" s="264"/>
      <c r="AF37" s="264"/>
      <c r="AG37" s="263"/>
      <c r="AH37" s="260"/>
      <c r="AI37" s="264"/>
      <c r="AJ37" s="260"/>
      <c r="AK37" s="260"/>
      <c r="AL37" s="260"/>
      <c r="AM37" s="260"/>
      <c r="AN37" s="264"/>
      <c r="AO37" s="265"/>
      <c r="AP37" s="264"/>
      <c r="AQ37" s="370" t="s">
        <v>838</v>
      </c>
      <c r="AR37" s="262" t="s">
        <v>758</v>
      </c>
      <c r="AS37" s="262"/>
      <c r="AT37" s="262"/>
      <c r="AU37" s="262">
        <v>8</v>
      </c>
      <c r="AV37" s="262"/>
      <c r="AW37" s="262"/>
      <c r="AX37" s="262"/>
      <c r="AY37" s="262"/>
      <c r="AZ37" s="262" t="s">
        <v>758</v>
      </c>
      <c r="BA37" s="260"/>
      <c r="BB37" s="262">
        <v>0</v>
      </c>
      <c r="BC37" s="262">
        <v>0</v>
      </c>
      <c r="BD37" s="262">
        <v>0</v>
      </c>
      <c r="BE37" s="262">
        <v>0</v>
      </c>
      <c r="BF37" s="262">
        <v>0</v>
      </c>
      <c r="BG37" s="262">
        <v>0</v>
      </c>
      <c r="BH37" s="262">
        <v>0</v>
      </c>
      <c r="BI37" s="262">
        <v>0</v>
      </c>
      <c r="BJ37" s="262">
        <v>0</v>
      </c>
      <c r="BK37" s="262">
        <v>0</v>
      </c>
      <c r="BL37" s="262"/>
      <c r="BM37" s="262"/>
      <c r="BN37" s="262"/>
      <c r="BO37" s="262" t="s">
        <v>758</v>
      </c>
      <c r="BP37" s="371"/>
      <c r="BQ37" s="262"/>
      <c r="BR37" s="262"/>
      <c r="BS37" s="260"/>
      <c r="BT37" s="260"/>
      <c r="BU37" s="262"/>
      <c r="BV37" s="262" t="s">
        <v>758</v>
      </c>
      <c r="BW37" s="262">
        <v>1</v>
      </c>
      <c r="BX37" s="260"/>
      <c r="BY37" s="260" t="s">
        <v>899</v>
      </c>
    </row>
    <row r="38" spans="1:77" x14ac:dyDescent="0.15">
      <c r="A38" s="260">
        <v>433</v>
      </c>
      <c r="B38" s="270">
        <v>43565</v>
      </c>
      <c r="C38" s="261" t="s">
        <v>315</v>
      </c>
      <c r="D38" s="260" t="s">
        <v>454</v>
      </c>
      <c r="E38" s="260">
        <v>4</v>
      </c>
      <c r="F38" s="260" t="s">
        <v>406</v>
      </c>
      <c r="G38" s="270">
        <v>43281</v>
      </c>
      <c r="H38" s="262" t="s">
        <v>334</v>
      </c>
      <c r="I38" s="262" t="s">
        <v>318</v>
      </c>
      <c r="J38" s="262">
        <v>3</v>
      </c>
      <c r="K38" s="260" t="s">
        <v>341</v>
      </c>
      <c r="L38" s="260" t="s">
        <v>858</v>
      </c>
      <c r="M38" s="369">
        <v>106.72727272727272</v>
      </c>
      <c r="N38" s="369">
        <v>41.636363636363633</v>
      </c>
      <c r="O38" s="260" t="s">
        <v>518</v>
      </c>
      <c r="P38" s="260">
        <v>1000</v>
      </c>
      <c r="Q38" s="369">
        <v>46.736363636363627</v>
      </c>
      <c r="R38" s="263">
        <v>1500</v>
      </c>
      <c r="S38" s="369">
        <v>50.272727272727266</v>
      </c>
      <c r="T38" s="260"/>
      <c r="U38" s="260"/>
      <c r="V38" s="264"/>
      <c r="W38" s="369">
        <v>27.054545454545455</v>
      </c>
      <c r="X38" s="260"/>
      <c r="Y38" s="260"/>
      <c r="Z38" s="260"/>
      <c r="AA38" s="260"/>
      <c r="AB38" s="260"/>
      <c r="AC38" s="260"/>
      <c r="AD38" s="260"/>
      <c r="AE38" s="264"/>
      <c r="AF38" s="264"/>
      <c r="AG38" s="263"/>
      <c r="AH38" s="260"/>
      <c r="AI38" s="264"/>
      <c r="AJ38" s="260"/>
      <c r="AK38" s="260"/>
      <c r="AL38" s="260"/>
      <c r="AM38" s="260"/>
      <c r="AN38" s="264"/>
      <c r="AO38" s="265"/>
      <c r="AP38" s="264"/>
      <c r="AQ38" s="260" t="s">
        <v>407</v>
      </c>
      <c r="AR38" s="262" t="s">
        <v>318</v>
      </c>
      <c r="AS38" s="262"/>
      <c r="AT38" s="262"/>
      <c r="AU38" s="262">
        <v>5.2</v>
      </c>
      <c r="AV38" s="262"/>
      <c r="AW38" s="262"/>
      <c r="AX38" s="262"/>
      <c r="AY38" s="262"/>
      <c r="AZ38" s="262" t="s">
        <v>323</v>
      </c>
      <c r="BA38" s="260"/>
      <c r="BB38" s="262">
        <v>0</v>
      </c>
      <c r="BC38" s="262">
        <v>0</v>
      </c>
      <c r="BD38" s="262">
        <v>2</v>
      </c>
      <c r="BE38" s="262">
        <v>0</v>
      </c>
      <c r="BF38" s="262">
        <v>0</v>
      </c>
      <c r="BG38" s="262">
        <v>0</v>
      </c>
      <c r="BH38" s="262">
        <v>0</v>
      </c>
      <c r="BI38" s="262">
        <v>0</v>
      </c>
      <c r="BJ38" s="262">
        <v>0</v>
      </c>
      <c r="BK38" s="262">
        <v>0</v>
      </c>
      <c r="BL38" s="262"/>
      <c r="BM38" s="262"/>
      <c r="BN38" s="262"/>
      <c r="BO38" s="262" t="s">
        <v>318</v>
      </c>
      <c r="BP38" s="371"/>
      <c r="BQ38" s="262"/>
      <c r="BR38" s="262"/>
      <c r="BS38" s="260"/>
      <c r="BT38" s="260"/>
      <c r="BU38" s="262"/>
      <c r="BV38" s="262" t="s">
        <v>318</v>
      </c>
      <c r="BW38" s="262"/>
      <c r="BX38" s="260"/>
      <c r="BY38" s="260" t="s">
        <v>655</v>
      </c>
    </row>
    <row r="39" spans="1:77" x14ac:dyDescent="0.15">
      <c r="A39" s="260">
        <v>754</v>
      </c>
      <c r="B39" s="270">
        <v>43565</v>
      </c>
      <c r="C39" s="261" t="s">
        <v>453</v>
      </c>
      <c r="D39" s="260" t="s">
        <v>454</v>
      </c>
      <c r="E39" s="260">
        <v>4</v>
      </c>
      <c r="F39" s="260" t="s">
        <v>507</v>
      </c>
      <c r="G39" s="270">
        <v>43540</v>
      </c>
      <c r="H39" s="262" t="s">
        <v>456</v>
      </c>
      <c r="I39" s="262" t="s">
        <v>457</v>
      </c>
      <c r="J39" s="262">
        <v>4</v>
      </c>
      <c r="K39" s="260" t="s">
        <v>476</v>
      </c>
      <c r="L39" s="260" t="s">
        <v>859</v>
      </c>
      <c r="M39" s="369">
        <v>108.49999999999999</v>
      </c>
      <c r="N39" s="369">
        <v>49.5</v>
      </c>
      <c r="O39" s="260"/>
      <c r="P39" s="263"/>
      <c r="Q39" s="264"/>
      <c r="R39" s="263"/>
      <c r="S39" s="264"/>
      <c r="T39" s="263"/>
      <c r="U39" s="260"/>
      <c r="V39" s="264"/>
      <c r="W39" s="369">
        <v>28.727272727272727</v>
      </c>
      <c r="X39" s="263"/>
      <c r="Y39" s="260"/>
      <c r="Z39" s="263"/>
      <c r="AA39" s="260"/>
      <c r="AB39" s="263"/>
      <c r="AC39" s="260"/>
      <c r="AD39" s="260"/>
      <c r="AE39" s="264"/>
      <c r="AF39" s="264"/>
      <c r="AG39" s="263"/>
      <c r="AH39" s="260"/>
      <c r="AI39" s="264"/>
      <c r="AJ39" s="260"/>
      <c r="AK39" s="260"/>
      <c r="AL39" s="260"/>
      <c r="AM39" s="260"/>
      <c r="AN39" s="264"/>
      <c r="AO39" s="265"/>
      <c r="AP39" s="264"/>
      <c r="AQ39" s="260" t="s">
        <v>508</v>
      </c>
      <c r="AR39" s="262" t="s">
        <v>457</v>
      </c>
      <c r="AS39" s="262"/>
      <c r="AT39" s="262"/>
      <c r="AU39" s="262">
        <v>9.35</v>
      </c>
      <c r="AV39" s="262"/>
      <c r="AW39" s="262"/>
      <c r="AX39" s="262"/>
      <c r="AY39" s="262"/>
      <c r="AZ39" s="262" t="s">
        <v>462</v>
      </c>
      <c r="BA39" s="260"/>
      <c r="BB39" s="262">
        <v>2</v>
      </c>
      <c r="BC39" s="262">
        <v>0</v>
      </c>
      <c r="BD39" s="262">
        <v>0</v>
      </c>
      <c r="BE39" s="262">
        <v>0</v>
      </c>
      <c r="BF39" s="262">
        <v>0</v>
      </c>
      <c r="BG39" s="262">
        <v>0</v>
      </c>
      <c r="BH39" s="262">
        <v>0</v>
      </c>
      <c r="BI39" s="262">
        <v>0</v>
      </c>
      <c r="BJ39" s="262">
        <v>0</v>
      </c>
      <c r="BK39" s="262">
        <v>0</v>
      </c>
      <c r="BL39" s="262"/>
      <c r="BM39" s="262"/>
      <c r="BN39" s="262">
        <v>24</v>
      </c>
      <c r="BO39" s="262" t="s">
        <v>457</v>
      </c>
      <c r="BP39" s="371"/>
      <c r="BQ39" s="262"/>
      <c r="BR39" s="262"/>
      <c r="BS39" s="260"/>
      <c r="BT39" s="260"/>
      <c r="BU39" s="262"/>
      <c r="BV39" s="262" t="s">
        <v>457</v>
      </c>
      <c r="BW39" s="262">
        <v>1</v>
      </c>
      <c r="BX39" s="260"/>
      <c r="BY39" s="260" t="s">
        <v>76</v>
      </c>
    </row>
    <row r="40" spans="1:77" x14ac:dyDescent="0.15">
      <c r="A40" s="260">
        <v>978</v>
      </c>
      <c r="B40" s="270">
        <v>43565</v>
      </c>
      <c r="C40" s="261" t="s">
        <v>861</v>
      </c>
      <c r="D40" s="260" t="s">
        <v>454</v>
      </c>
      <c r="E40" s="260">
        <v>4</v>
      </c>
      <c r="F40" s="260" t="s">
        <v>900</v>
      </c>
      <c r="G40" s="270">
        <v>43526</v>
      </c>
      <c r="H40" s="262" t="s">
        <v>863</v>
      </c>
      <c r="I40" s="262" t="s">
        <v>864</v>
      </c>
      <c r="J40" s="262">
        <v>5</v>
      </c>
      <c r="K40" s="260" t="s">
        <v>302</v>
      </c>
      <c r="L40" s="260" t="s">
        <v>521</v>
      </c>
      <c r="M40" s="369">
        <v>130</v>
      </c>
      <c r="N40" s="369">
        <v>38.954545454545453</v>
      </c>
      <c r="O40" s="260"/>
      <c r="P40" s="263"/>
      <c r="Q40" s="264"/>
      <c r="R40" s="263"/>
      <c r="S40" s="264"/>
      <c r="T40" s="263"/>
      <c r="U40" s="260"/>
      <c r="V40" s="264"/>
      <c r="W40" s="369">
        <v>24.981818181818181</v>
      </c>
      <c r="X40" s="260"/>
      <c r="Y40" s="260"/>
      <c r="Z40" s="260"/>
      <c r="AA40" s="260"/>
      <c r="AB40" s="260"/>
      <c r="AC40" s="260"/>
      <c r="AD40" s="260"/>
      <c r="AE40" s="264"/>
      <c r="AF40" s="264"/>
      <c r="AG40" s="263"/>
      <c r="AH40" s="260"/>
      <c r="AI40" s="264"/>
      <c r="AJ40" s="260"/>
      <c r="AK40" s="260"/>
      <c r="AL40" s="260"/>
      <c r="AM40" s="260"/>
      <c r="AN40" s="264"/>
      <c r="AO40" s="265"/>
      <c r="AP40" s="264"/>
      <c r="AQ40" s="370" t="s">
        <v>901</v>
      </c>
      <c r="AR40" s="262" t="s">
        <v>864</v>
      </c>
      <c r="AS40" s="262"/>
      <c r="AT40" s="262"/>
      <c r="AU40" s="262">
        <v>3</v>
      </c>
      <c r="AV40" s="262"/>
      <c r="AW40" s="262"/>
      <c r="AX40" s="262"/>
      <c r="AY40" s="262"/>
      <c r="AZ40" s="262" t="s">
        <v>361</v>
      </c>
      <c r="BA40" s="260"/>
      <c r="BB40" s="262">
        <v>0</v>
      </c>
      <c r="BC40" s="262">
        <v>0</v>
      </c>
      <c r="BD40" s="262">
        <v>0</v>
      </c>
      <c r="BE40" s="262">
        <v>0</v>
      </c>
      <c r="BF40" s="262">
        <v>0</v>
      </c>
      <c r="BG40" s="262">
        <v>0</v>
      </c>
      <c r="BH40" s="262">
        <v>0</v>
      </c>
      <c r="BI40" s="262">
        <v>0</v>
      </c>
      <c r="BJ40" s="262">
        <v>0</v>
      </c>
      <c r="BK40" s="262">
        <v>0</v>
      </c>
      <c r="BL40" s="262"/>
      <c r="BM40" s="262"/>
      <c r="BN40" s="262"/>
      <c r="BO40" s="262" t="s">
        <v>864</v>
      </c>
      <c r="BP40" s="371"/>
      <c r="BQ40" s="262"/>
      <c r="BR40" s="262"/>
      <c r="BS40" s="260"/>
      <c r="BT40" s="260"/>
      <c r="BU40" s="262"/>
      <c r="BV40" s="262" t="s">
        <v>864</v>
      </c>
      <c r="BW40" s="262"/>
      <c r="BX40" s="260"/>
      <c r="BY40" s="260" t="s">
        <v>76</v>
      </c>
    </row>
    <row r="41" spans="1:77" x14ac:dyDescent="0.15">
      <c r="A41" s="260">
        <v>1381</v>
      </c>
      <c r="B41" s="270">
        <v>43565</v>
      </c>
      <c r="C41" s="261" t="s">
        <v>755</v>
      </c>
      <c r="D41" s="260" t="s">
        <v>454</v>
      </c>
      <c r="E41" s="260">
        <v>4</v>
      </c>
      <c r="F41" s="260" t="s">
        <v>837</v>
      </c>
      <c r="G41" s="270">
        <v>43446</v>
      </c>
      <c r="H41" s="262" t="s">
        <v>757</v>
      </c>
      <c r="I41" s="262" t="s">
        <v>758</v>
      </c>
      <c r="J41" s="262">
        <v>6</v>
      </c>
      <c r="K41" s="260" t="s">
        <v>773</v>
      </c>
      <c r="L41" s="260" t="s">
        <v>774</v>
      </c>
      <c r="M41" s="369">
        <v>91.827272727272728</v>
      </c>
      <c r="N41" s="369">
        <v>37.927272727272722</v>
      </c>
      <c r="O41" s="260"/>
      <c r="P41" s="263"/>
      <c r="Q41" s="264"/>
      <c r="R41" s="263"/>
      <c r="S41" s="264"/>
      <c r="T41" s="263"/>
      <c r="U41" s="260"/>
      <c r="V41" s="264"/>
      <c r="W41" s="369">
        <v>24.645454545454545</v>
      </c>
      <c r="X41" s="260"/>
      <c r="Y41" s="260"/>
      <c r="Z41" s="263"/>
      <c r="AA41" s="260"/>
      <c r="AB41" s="263"/>
      <c r="AC41" s="260"/>
      <c r="AD41" s="260"/>
      <c r="AE41" s="264"/>
      <c r="AF41" s="264"/>
      <c r="AG41" s="263"/>
      <c r="AH41" s="260"/>
      <c r="AI41" s="264"/>
      <c r="AJ41" s="260"/>
      <c r="AK41" s="260"/>
      <c r="AL41" s="260"/>
      <c r="AM41" s="260"/>
      <c r="AN41" s="264"/>
      <c r="AO41" s="265"/>
      <c r="AP41" s="264"/>
      <c r="AQ41" s="260" t="s">
        <v>838</v>
      </c>
      <c r="AR41" s="262" t="s">
        <v>758</v>
      </c>
      <c r="AS41" s="262"/>
      <c r="AT41" s="262"/>
      <c r="AU41" s="262">
        <v>5</v>
      </c>
      <c r="AV41" s="262"/>
      <c r="AW41" s="262"/>
      <c r="AX41" s="262"/>
      <c r="AY41" s="262"/>
      <c r="AZ41" s="262" t="s">
        <v>762</v>
      </c>
      <c r="BA41" s="260"/>
      <c r="BB41" s="262">
        <v>0</v>
      </c>
      <c r="BC41" s="262">
        <v>0</v>
      </c>
      <c r="BD41" s="262">
        <v>0</v>
      </c>
      <c r="BE41" s="262">
        <v>0</v>
      </c>
      <c r="BF41" s="262">
        <v>0</v>
      </c>
      <c r="BG41" s="262">
        <v>0</v>
      </c>
      <c r="BH41" s="262">
        <v>0</v>
      </c>
      <c r="BI41" s="262">
        <v>0</v>
      </c>
      <c r="BJ41" s="262">
        <v>0</v>
      </c>
      <c r="BK41" s="262">
        <v>0</v>
      </c>
      <c r="BL41" s="262"/>
      <c r="BM41" s="262"/>
      <c r="BN41" s="262">
        <v>12</v>
      </c>
      <c r="BO41" s="262" t="s">
        <v>758</v>
      </c>
      <c r="BP41" s="371"/>
      <c r="BQ41" s="262"/>
      <c r="BR41" s="262"/>
      <c r="BS41" s="260"/>
      <c r="BT41" s="260"/>
      <c r="BU41" s="262"/>
      <c r="BV41" s="262" t="s">
        <v>758</v>
      </c>
      <c r="BW41" s="262"/>
      <c r="BX41" s="260"/>
      <c r="BY41" s="370" t="s">
        <v>76</v>
      </c>
    </row>
    <row r="42" spans="1:77" x14ac:dyDescent="0.15">
      <c r="A42" s="260">
        <v>1715</v>
      </c>
      <c r="B42" s="270">
        <v>43565</v>
      </c>
      <c r="C42" s="261" t="s">
        <v>861</v>
      </c>
      <c r="D42" s="260" t="s">
        <v>454</v>
      </c>
      <c r="E42" s="260">
        <v>4</v>
      </c>
      <c r="F42" s="260" t="s">
        <v>900</v>
      </c>
      <c r="G42" s="270">
        <v>43302</v>
      </c>
      <c r="H42" s="262" t="s">
        <v>863</v>
      </c>
      <c r="I42" s="262" t="s">
        <v>864</v>
      </c>
      <c r="J42" s="262">
        <v>7</v>
      </c>
      <c r="K42" s="260" t="s">
        <v>868</v>
      </c>
      <c r="L42" s="260" t="s">
        <v>525</v>
      </c>
      <c r="M42" s="369">
        <v>130</v>
      </c>
      <c r="N42" s="369">
        <v>38.954545454545453</v>
      </c>
      <c r="O42" s="260"/>
      <c r="P42" s="263"/>
      <c r="Q42" s="264"/>
      <c r="R42" s="263"/>
      <c r="S42" s="264"/>
      <c r="T42" s="260"/>
      <c r="U42" s="260"/>
      <c r="V42" s="264"/>
      <c r="W42" s="369">
        <v>24.981818181818181</v>
      </c>
      <c r="X42" s="260"/>
      <c r="Y42" s="260"/>
      <c r="Z42" s="260"/>
      <c r="AA42" s="260"/>
      <c r="AB42" s="260"/>
      <c r="AC42" s="260"/>
      <c r="AD42" s="260"/>
      <c r="AE42" s="264"/>
      <c r="AF42" s="264"/>
      <c r="AG42" s="263"/>
      <c r="AH42" s="260"/>
      <c r="AI42" s="264"/>
      <c r="AJ42" s="260"/>
      <c r="AK42" s="260"/>
      <c r="AL42" s="260"/>
      <c r="AM42" s="260"/>
      <c r="AN42" s="264"/>
      <c r="AO42" s="265"/>
      <c r="AP42" s="264"/>
      <c r="AQ42" s="370" t="s">
        <v>901</v>
      </c>
      <c r="AR42" s="262" t="s">
        <v>864</v>
      </c>
      <c r="AS42" s="262"/>
      <c r="AT42" s="262"/>
      <c r="AU42" s="262">
        <v>3</v>
      </c>
      <c r="AV42" s="262"/>
      <c r="AW42" s="262"/>
      <c r="AX42" s="262"/>
      <c r="AY42" s="262"/>
      <c r="AZ42" s="262" t="s">
        <v>869</v>
      </c>
      <c r="BA42" s="260"/>
      <c r="BB42" s="262">
        <v>0</v>
      </c>
      <c r="BC42" s="262">
        <v>0</v>
      </c>
      <c r="BD42" s="262">
        <v>0</v>
      </c>
      <c r="BE42" s="262">
        <v>0</v>
      </c>
      <c r="BF42" s="262">
        <v>0</v>
      </c>
      <c r="BG42" s="262">
        <v>0</v>
      </c>
      <c r="BH42" s="262">
        <v>0</v>
      </c>
      <c r="BI42" s="262">
        <v>0</v>
      </c>
      <c r="BJ42" s="262">
        <v>0</v>
      </c>
      <c r="BK42" s="262">
        <v>0</v>
      </c>
      <c r="BL42" s="262"/>
      <c r="BM42" s="262"/>
      <c r="BN42" s="262"/>
      <c r="BO42" s="262" t="s">
        <v>864</v>
      </c>
      <c r="BP42" s="371"/>
      <c r="BQ42" s="262"/>
      <c r="BR42" s="373"/>
      <c r="BS42" s="260"/>
      <c r="BT42" s="260"/>
      <c r="BU42" s="262"/>
      <c r="BV42" s="262" t="s">
        <v>864</v>
      </c>
      <c r="BW42" s="262"/>
      <c r="BX42" s="260"/>
      <c r="BY42" s="260" t="s">
        <v>903</v>
      </c>
    </row>
    <row r="43" spans="1:77" x14ac:dyDescent="0.15">
      <c r="A43" s="260">
        <v>1138</v>
      </c>
      <c r="B43" s="270">
        <v>43565</v>
      </c>
      <c r="C43" s="261" t="s">
        <v>861</v>
      </c>
      <c r="D43" s="260" t="s">
        <v>454</v>
      </c>
      <c r="E43" s="260">
        <v>4</v>
      </c>
      <c r="F43" s="260" t="s">
        <v>900</v>
      </c>
      <c r="G43" s="270">
        <v>43518</v>
      </c>
      <c r="H43" s="262" t="s">
        <v>863</v>
      </c>
      <c r="I43" s="262" t="s">
        <v>864</v>
      </c>
      <c r="J43" s="262">
        <v>8</v>
      </c>
      <c r="K43" s="260" t="s">
        <v>254</v>
      </c>
      <c r="L43" s="260" t="s">
        <v>327</v>
      </c>
      <c r="M43" s="369">
        <v>106.58181818181816</v>
      </c>
      <c r="N43" s="369">
        <v>46.11818181818181</v>
      </c>
      <c r="O43" s="260"/>
      <c r="P43" s="263"/>
      <c r="Q43" s="264"/>
      <c r="R43" s="263"/>
      <c r="S43" s="264"/>
      <c r="T43" s="260"/>
      <c r="U43" s="260"/>
      <c r="V43" s="264"/>
      <c r="W43" s="369">
        <v>27.127272727272725</v>
      </c>
      <c r="X43" s="260"/>
      <c r="Y43" s="260"/>
      <c r="Z43" s="260"/>
      <c r="AA43" s="260"/>
      <c r="AB43" s="260"/>
      <c r="AC43" s="260"/>
      <c r="AD43" s="260"/>
      <c r="AE43" s="264"/>
      <c r="AF43" s="264"/>
      <c r="AG43" s="263"/>
      <c r="AH43" s="260"/>
      <c r="AI43" s="264"/>
      <c r="AJ43" s="260"/>
      <c r="AK43" s="260"/>
      <c r="AL43" s="260"/>
      <c r="AM43" s="260"/>
      <c r="AN43" s="264"/>
      <c r="AO43" s="265"/>
      <c r="AP43" s="264"/>
      <c r="AQ43" s="260" t="s">
        <v>901</v>
      </c>
      <c r="AR43" s="262" t="s">
        <v>864</v>
      </c>
      <c r="AS43" s="262"/>
      <c r="AT43" s="262"/>
      <c r="AU43" s="262">
        <v>6</v>
      </c>
      <c r="AV43" s="262"/>
      <c r="AW43" s="262"/>
      <c r="AX43" s="262"/>
      <c r="AY43" s="262"/>
      <c r="AZ43" s="262" t="s">
        <v>153</v>
      </c>
      <c r="BA43" s="260"/>
      <c r="BB43" s="262">
        <v>6</v>
      </c>
      <c r="BC43" s="262">
        <v>0</v>
      </c>
      <c r="BD43" s="262">
        <v>0</v>
      </c>
      <c r="BE43" s="262">
        <v>0</v>
      </c>
      <c r="BF43" s="262">
        <v>0</v>
      </c>
      <c r="BG43" s="262">
        <v>0</v>
      </c>
      <c r="BH43" s="262">
        <v>0</v>
      </c>
      <c r="BI43" s="262">
        <v>0</v>
      </c>
      <c r="BJ43" s="262">
        <v>0</v>
      </c>
      <c r="BK43" s="262">
        <v>0</v>
      </c>
      <c r="BL43" s="262"/>
      <c r="BM43" s="262"/>
      <c r="BN43" s="262"/>
      <c r="BO43" s="262" t="s">
        <v>864</v>
      </c>
      <c r="BP43" s="371"/>
      <c r="BQ43" s="262"/>
      <c r="BR43" s="373"/>
      <c r="BS43" s="260"/>
      <c r="BT43" s="260"/>
      <c r="BU43" s="262"/>
      <c r="BV43" s="262" t="s">
        <v>864</v>
      </c>
      <c r="BW43" s="262"/>
      <c r="BX43" s="260"/>
      <c r="BY43" s="266" t="s">
        <v>76</v>
      </c>
    </row>
    <row r="44" spans="1:77" x14ac:dyDescent="0.15">
      <c r="A44" s="260">
        <v>1502</v>
      </c>
      <c r="B44" s="270">
        <v>43565</v>
      </c>
      <c r="C44" s="261" t="s">
        <v>755</v>
      </c>
      <c r="D44" s="260" t="s">
        <v>454</v>
      </c>
      <c r="E44" s="260">
        <v>4</v>
      </c>
      <c r="F44" s="260" t="s">
        <v>837</v>
      </c>
      <c r="G44" s="270">
        <v>43266</v>
      </c>
      <c r="H44" s="262" t="s">
        <v>757</v>
      </c>
      <c r="I44" s="262" t="s">
        <v>758</v>
      </c>
      <c r="J44" s="262">
        <v>9</v>
      </c>
      <c r="K44" s="260" t="s">
        <v>495</v>
      </c>
      <c r="L44" s="260" t="s">
        <v>781</v>
      </c>
      <c r="M44" s="369">
        <v>138.6181818181818</v>
      </c>
      <c r="N44" s="369">
        <v>40.318181818181813</v>
      </c>
      <c r="O44" s="260"/>
      <c r="P44" s="263"/>
      <c r="Q44" s="264"/>
      <c r="R44" s="263"/>
      <c r="S44" s="264"/>
      <c r="T44" s="260"/>
      <c r="U44" s="260"/>
      <c r="V44" s="264"/>
      <c r="W44" s="369">
        <v>28.36363636363636</v>
      </c>
      <c r="X44" s="260"/>
      <c r="Y44" s="260"/>
      <c r="Z44" s="260"/>
      <c r="AA44" s="260"/>
      <c r="AB44" s="260"/>
      <c r="AC44" s="260"/>
      <c r="AD44" s="260"/>
      <c r="AE44" s="264"/>
      <c r="AF44" s="264"/>
      <c r="AG44" s="263"/>
      <c r="AH44" s="260"/>
      <c r="AI44" s="264"/>
      <c r="AJ44" s="260"/>
      <c r="AK44" s="260"/>
      <c r="AL44" s="260"/>
      <c r="AM44" s="260"/>
      <c r="AN44" s="264"/>
      <c r="AO44" s="265"/>
      <c r="AP44" s="264"/>
      <c r="AQ44" s="260" t="s">
        <v>838</v>
      </c>
      <c r="AR44" s="262" t="s">
        <v>758</v>
      </c>
      <c r="AS44" s="262"/>
      <c r="AT44" s="262"/>
      <c r="AU44" s="262">
        <v>3</v>
      </c>
      <c r="AV44" s="262"/>
      <c r="AW44" s="262"/>
      <c r="AX44" s="262"/>
      <c r="AY44" s="262"/>
      <c r="AZ44" s="262" t="s">
        <v>762</v>
      </c>
      <c r="BA44" s="260"/>
      <c r="BB44" s="262">
        <v>0</v>
      </c>
      <c r="BC44" s="262">
        <v>0</v>
      </c>
      <c r="BD44" s="262">
        <v>0</v>
      </c>
      <c r="BE44" s="262">
        <v>0</v>
      </c>
      <c r="BF44" s="262">
        <v>0</v>
      </c>
      <c r="BG44" s="262">
        <v>0</v>
      </c>
      <c r="BH44" s="262">
        <v>0</v>
      </c>
      <c r="BI44" s="262">
        <v>0</v>
      </c>
      <c r="BJ44" s="262">
        <v>0</v>
      </c>
      <c r="BK44" s="262">
        <v>0</v>
      </c>
      <c r="BL44" s="262"/>
      <c r="BM44" s="262"/>
      <c r="BN44" s="262"/>
      <c r="BO44" s="262" t="s">
        <v>758</v>
      </c>
      <c r="BP44" s="371"/>
      <c r="BQ44" s="262"/>
      <c r="BR44" s="262"/>
      <c r="BS44" s="260"/>
      <c r="BT44" s="260"/>
      <c r="BU44" s="262"/>
      <c r="BV44" s="262" t="s">
        <v>758</v>
      </c>
      <c r="BW44" s="262">
        <v>1</v>
      </c>
      <c r="BX44" s="260"/>
      <c r="BY44" s="374" t="s">
        <v>905</v>
      </c>
    </row>
    <row r="45" spans="1:77" x14ac:dyDescent="0.15">
      <c r="A45" s="260">
        <v>592</v>
      </c>
      <c r="B45" s="270">
        <v>43565</v>
      </c>
      <c r="C45" s="261" t="s">
        <v>453</v>
      </c>
      <c r="D45" s="260" t="s">
        <v>454</v>
      </c>
      <c r="E45" s="260">
        <v>4</v>
      </c>
      <c r="F45" s="260" t="s">
        <v>507</v>
      </c>
      <c r="G45" s="270">
        <v>43504</v>
      </c>
      <c r="H45" s="262" t="s">
        <v>456</v>
      </c>
      <c r="I45" s="262" t="s">
        <v>457</v>
      </c>
      <c r="J45" s="262">
        <v>10</v>
      </c>
      <c r="K45" s="260" t="s">
        <v>875</v>
      </c>
      <c r="L45" s="260" t="s">
        <v>595</v>
      </c>
      <c r="M45" s="369">
        <v>73.636363636363626</v>
      </c>
      <c r="N45" s="369">
        <v>35.909090909090907</v>
      </c>
      <c r="O45" s="260"/>
      <c r="P45" s="263"/>
      <c r="Q45" s="264"/>
      <c r="R45" s="263"/>
      <c r="S45" s="264"/>
      <c r="T45" s="263"/>
      <c r="U45" s="260"/>
      <c r="V45" s="264"/>
      <c r="W45" s="369">
        <v>24.999999999999996</v>
      </c>
      <c r="X45" s="263"/>
      <c r="Y45" s="260"/>
      <c r="Z45" s="263"/>
      <c r="AA45" s="260"/>
      <c r="AB45" s="263"/>
      <c r="AC45" s="260"/>
      <c r="AD45" s="260"/>
      <c r="AE45" s="264"/>
      <c r="AF45" s="264"/>
      <c r="AG45" s="263"/>
      <c r="AH45" s="260"/>
      <c r="AI45" s="264"/>
      <c r="AJ45" s="260"/>
      <c r="AK45" s="260"/>
      <c r="AL45" s="260"/>
      <c r="AM45" s="260"/>
      <c r="AN45" s="264"/>
      <c r="AO45" s="265"/>
      <c r="AP45" s="264"/>
      <c r="AQ45" s="260" t="s">
        <v>508</v>
      </c>
      <c r="AR45" s="262" t="s">
        <v>457</v>
      </c>
      <c r="AS45" s="262"/>
      <c r="AT45" s="262"/>
      <c r="AU45" s="262">
        <v>9</v>
      </c>
      <c r="AV45" s="262" t="s">
        <v>876</v>
      </c>
      <c r="AW45" s="262">
        <v>10</v>
      </c>
      <c r="AX45" s="262"/>
      <c r="AY45" s="262">
        <v>6.5</v>
      </c>
      <c r="AZ45" s="262" t="s">
        <v>462</v>
      </c>
      <c r="BA45" s="260"/>
      <c r="BB45" s="262">
        <v>0</v>
      </c>
      <c r="BC45" s="262">
        <v>0</v>
      </c>
      <c r="BD45" s="262">
        <v>0</v>
      </c>
      <c r="BE45" s="262">
        <v>0</v>
      </c>
      <c r="BF45" s="262">
        <v>0</v>
      </c>
      <c r="BG45" s="262">
        <v>0</v>
      </c>
      <c r="BH45" s="262">
        <v>0</v>
      </c>
      <c r="BI45" s="262">
        <v>0</v>
      </c>
      <c r="BJ45" s="262">
        <v>0</v>
      </c>
      <c r="BK45" s="262">
        <v>0</v>
      </c>
      <c r="BL45" s="262"/>
      <c r="BM45" s="262"/>
      <c r="BN45" s="262"/>
      <c r="BO45" s="262" t="s">
        <v>457</v>
      </c>
      <c r="BP45" s="375">
        <v>163.58181818181816</v>
      </c>
      <c r="BQ45" s="262"/>
      <c r="BR45" s="373"/>
      <c r="BS45" s="266"/>
      <c r="BT45" s="266"/>
      <c r="BU45" s="266"/>
      <c r="BV45" s="262" t="s">
        <v>457</v>
      </c>
      <c r="BW45" s="262"/>
      <c r="BX45" s="260"/>
      <c r="BY45" s="260" t="s">
        <v>76</v>
      </c>
    </row>
    <row r="46" spans="1:77" x14ac:dyDescent="0.15">
      <c r="A46" s="260">
        <v>2034</v>
      </c>
      <c r="B46" s="270">
        <v>43565</v>
      </c>
      <c r="C46" s="261" t="s">
        <v>191</v>
      </c>
      <c r="D46" s="260" t="s">
        <v>454</v>
      </c>
      <c r="E46" s="260">
        <v>4</v>
      </c>
      <c r="F46" s="260" t="s">
        <v>176</v>
      </c>
      <c r="G46" s="270">
        <v>43273</v>
      </c>
      <c r="H46" s="262" t="s">
        <v>863</v>
      </c>
      <c r="I46" s="262" t="s">
        <v>864</v>
      </c>
      <c r="J46" s="262">
        <v>11</v>
      </c>
      <c r="K46" s="260" t="s">
        <v>691</v>
      </c>
      <c r="L46" s="260" t="s">
        <v>791</v>
      </c>
      <c r="M46" s="369">
        <v>128.49090909090907</v>
      </c>
      <c r="N46" s="369">
        <v>48.43636363636363</v>
      </c>
      <c r="O46" s="260"/>
      <c r="P46" s="263"/>
      <c r="Q46" s="264"/>
      <c r="R46" s="263"/>
      <c r="S46" s="264"/>
      <c r="T46" s="263"/>
      <c r="U46" s="260"/>
      <c r="V46" s="264"/>
      <c r="W46" s="369">
        <v>33.6</v>
      </c>
      <c r="X46" s="260"/>
      <c r="Y46" s="260"/>
      <c r="Z46" s="260"/>
      <c r="AA46" s="260"/>
      <c r="AB46" s="260"/>
      <c r="AC46" s="260"/>
      <c r="AD46" s="260"/>
      <c r="AE46" s="264"/>
      <c r="AF46" s="264"/>
      <c r="AG46" s="260"/>
      <c r="AH46" s="260"/>
      <c r="AI46" s="264"/>
      <c r="AJ46" s="260"/>
      <c r="AK46" s="260"/>
      <c r="AL46" s="260"/>
      <c r="AM46" s="260"/>
      <c r="AN46" s="264"/>
      <c r="AO46" s="265"/>
      <c r="AP46" s="264"/>
      <c r="AQ46" s="370" t="s">
        <v>89</v>
      </c>
      <c r="AR46" s="262" t="s">
        <v>153</v>
      </c>
      <c r="AS46" s="262"/>
      <c r="AT46" s="262"/>
      <c r="AU46" s="262"/>
      <c r="AV46" s="262"/>
      <c r="AW46" s="262"/>
      <c r="AX46" s="262"/>
      <c r="AY46" s="262"/>
      <c r="AZ46" s="262" t="s">
        <v>869</v>
      </c>
      <c r="BA46" s="260"/>
      <c r="BB46" s="262">
        <v>0</v>
      </c>
      <c r="BC46" s="262">
        <v>0</v>
      </c>
      <c r="BD46" s="262">
        <v>0</v>
      </c>
      <c r="BE46" s="262">
        <v>0</v>
      </c>
      <c r="BF46" s="262">
        <v>0</v>
      </c>
      <c r="BG46" s="262">
        <v>0</v>
      </c>
      <c r="BH46" s="262">
        <v>0</v>
      </c>
      <c r="BI46" s="262">
        <v>0</v>
      </c>
      <c r="BJ46" s="262">
        <v>0</v>
      </c>
      <c r="BK46" s="262">
        <v>0</v>
      </c>
      <c r="BL46" s="262"/>
      <c r="BM46" s="262"/>
      <c r="BN46" s="262"/>
      <c r="BO46" s="262" t="s">
        <v>153</v>
      </c>
      <c r="BP46" s="371"/>
      <c r="BQ46" s="262"/>
      <c r="BR46" s="262"/>
      <c r="BS46" s="266"/>
      <c r="BT46" s="266"/>
      <c r="BU46" s="262"/>
      <c r="BV46" s="262" t="s">
        <v>153</v>
      </c>
      <c r="BW46" s="262">
        <v>1</v>
      </c>
      <c r="BX46" s="260"/>
      <c r="BY46" s="260" t="s">
        <v>76</v>
      </c>
    </row>
    <row r="47" spans="1:77" x14ac:dyDescent="0.15">
      <c r="A47" s="260">
        <v>2101</v>
      </c>
      <c r="B47" s="270">
        <v>43565</v>
      </c>
      <c r="C47" s="261" t="s">
        <v>755</v>
      </c>
      <c r="D47" s="260" t="s">
        <v>454</v>
      </c>
      <c r="E47" s="260">
        <v>4</v>
      </c>
      <c r="F47" s="260" t="s">
        <v>927</v>
      </c>
      <c r="G47" s="267">
        <v>43558</v>
      </c>
      <c r="H47" s="262" t="s">
        <v>175</v>
      </c>
      <c r="I47" s="262" t="s">
        <v>174</v>
      </c>
      <c r="J47" s="262">
        <v>12</v>
      </c>
      <c r="K47" s="260" t="s">
        <v>794</v>
      </c>
      <c r="L47" s="260" t="s">
        <v>734</v>
      </c>
      <c r="M47" s="369">
        <v>108.98181818181817</v>
      </c>
      <c r="N47" s="369">
        <v>45.018181818181816</v>
      </c>
      <c r="O47" s="260"/>
      <c r="P47" s="263"/>
      <c r="Q47" s="264"/>
      <c r="R47" s="263"/>
      <c r="S47" s="264"/>
      <c r="T47" s="263"/>
      <c r="U47" s="260"/>
      <c r="V47" s="264"/>
      <c r="W47" s="369">
        <v>29.25454545454545</v>
      </c>
      <c r="X47" s="260"/>
      <c r="Y47" s="260"/>
      <c r="Z47" s="260"/>
      <c r="AA47" s="260"/>
      <c r="AB47" s="260"/>
      <c r="AC47" s="260"/>
      <c r="AD47" s="260"/>
      <c r="AE47" s="264"/>
      <c r="AF47" s="264"/>
      <c r="AG47" s="263"/>
      <c r="AH47" s="260"/>
      <c r="AI47" s="264"/>
      <c r="AJ47" s="260"/>
      <c r="AK47" s="260"/>
      <c r="AL47" s="260"/>
      <c r="AM47" s="260"/>
      <c r="AN47" s="264"/>
      <c r="AO47" s="265"/>
      <c r="AP47" s="264"/>
      <c r="AQ47" s="370" t="s">
        <v>838</v>
      </c>
      <c r="AR47" s="262" t="s">
        <v>758</v>
      </c>
      <c r="AS47" s="262"/>
      <c r="AT47" s="262"/>
      <c r="AU47" s="262">
        <v>5.5</v>
      </c>
      <c r="AV47" s="262"/>
      <c r="AW47" s="262"/>
      <c r="AX47" s="262"/>
      <c r="AY47" s="262"/>
      <c r="AZ47" s="262" t="s">
        <v>361</v>
      </c>
      <c r="BA47" s="260"/>
      <c r="BB47" s="262">
        <v>0</v>
      </c>
      <c r="BC47" s="262">
        <v>0</v>
      </c>
      <c r="BD47" s="262">
        <v>0</v>
      </c>
      <c r="BE47" s="262">
        <v>0</v>
      </c>
      <c r="BF47" s="262">
        <v>0</v>
      </c>
      <c r="BG47" s="262">
        <v>0</v>
      </c>
      <c r="BH47" s="262">
        <v>0</v>
      </c>
      <c r="BI47" s="262">
        <v>0</v>
      </c>
      <c r="BJ47" s="262">
        <v>0</v>
      </c>
      <c r="BK47" s="262">
        <v>0</v>
      </c>
      <c r="BL47" s="262"/>
      <c r="BM47" s="262"/>
      <c r="BN47" s="262"/>
      <c r="BO47" s="262" t="s">
        <v>758</v>
      </c>
      <c r="BP47" s="371"/>
      <c r="BQ47" s="262"/>
      <c r="BR47" s="262"/>
      <c r="BS47" s="266" t="s">
        <v>878</v>
      </c>
      <c r="BT47" s="266" t="s">
        <v>195</v>
      </c>
      <c r="BU47" s="262">
        <v>50</v>
      </c>
      <c r="BV47" s="262" t="s">
        <v>758</v>
      </c>
      <c r="BW47" s="262"/>
      <c r="BX47" s="266" t="s">
        <v>879</v>
      </c>
      <c r="BY47" s="260" t="s">
        <v>76</v>
      </c>
    </row>
    <row r="48" spans="1:77" x14ac:dyDescent="0.15">
      <c r="A48" s="260">
        <v>516</v>
      </c>
      <c r="B48" s="270">
        <v>43565</v>
      </c>
      <c r="C48" s="261" t="s">
        <v>191</v>
      </c>
      <c r="D48" s="260" t="s">
        <v>454</v>
      </c>
      <c r="E48" s="260">
        <v>4</v>
      </c>
      <c r="F48" s="260" t="s">
        <v>176</v>
      </c>
      <c r="G48" s="267">
        <v>43417</v>
      </c>
      <c r="H48" s="262" t="s">
        <v>150</v>
      </c>
      <c r="I48" s="262" t="s">
        <v>153</v>
      </c>
      <c r="J48" s="262">
        <v>13</v>
      </c>
      <c r="K48" s="260" t="s">
        <v>881</v>
      </c>
      <c r="L48" s="260" t="s">
        <v>916</v>
      </c>
      <c r="M48" s="369">
        <v>140</v>
      </c>
      <c r="N48" s="369">
        <v>37</v>
      </c>
      <c r="O48" s="260"/>
      <c r="P48" s="263"/>
      <c r="Q48" s="264"/>
      <c r="R48" s="263"/>
      <c r="S48" s="264"/>
      <c r="T48" s="263"/>
      <c r="U48" s="260"/>
      <c r="V48" s="264"/>
      <c r="W48" s="369">
        <v>24.999999999999996</v>
      </c>
      <c r="X48" s="260"/>
      <c r="Y48" s="260"/>
      <c r="Z48" s="260"/>
      <c r="AA48" s="260"/>
      <c r="AB48" s="260"/>
      <c r="AC48" s="260"/>
      <c r="AD48" s="260"/>
      <c r="AE48" s="264"/>
      <c r="AF48" s="264"/>
      <c r="AG48" s="260"/>
      <c r="AH48" s="260"/>
      <c r="AI48" s="264"/>
      <c r="AJ48" s="260"/>
      <c r="AK48" s="260"/>
      <c r="AL48" s="260"/>
      <c r="AM48" s="260"/>
      <c r="AN48" s="264"/>
      <c r="AO48" s="265"/>
      <c r="AP48" s="264"/>
      <c r="AQ48" s="370" t="s">
        <v>89</v>
      </c>
      <c r="AR48" s="262" t="s">
        <v>153</v>
      </c>
      <c r="AS48" s="262"/>
      <c r="AT48" s="262"/>
      <c r="AU48" s="262">
        <v>8</v>
      </c>
      <c r="AV48" s="262"/>
      <c r="AW48" s="262"/>
      <c r="AX48" s="262"/>
      <c r="AY48" s="262"/>
      <c r="AZ48" s="262" t="s">
        <v>153</v>
      </c>
      <c r="BA48" s="260"/>
      <c r="BB48" s="262">
        <v>0</v>
      </c>
      <c r="BC48" s="262">
        <v>0</v>
      </c>
      <c r="BD48" s="262">
        <v>0</v>
      </c>
      <c r="BE48" s="262">
        <v>0</v>
      </c>
      <c r="BF48" s="262">
        <v>0</v>
      </c>
      <c r="BG48" s="262">
        <v>0</v>
      </c>
      <c r="BH48" s="262">
        <v>0</v>
      </c>
      <c r="BI48" s="262">
        <v>0</v>
      </c>
      <c r="BJ48" s="262">
        <v>0</v>
      </c>
      <c r="BK48" s="262">
        <v>0</v>
      </c>
      <c r="BL48" s="262"/>
      <c r="BM48" s="262"/>
      <c r="BN48" s="262"/>
      <c r="BO48" s="262" t="s">
        <v>153</v>
      </c>
      <c r="BP48" s="371"/>
      <c r="BQ48" s="262"/>
      <c r="BR48" s="262"/>
      <c r="BS48" s="266"/>
      <c r="BT48" s="266"/>
      <c r="BU48" s="262"/>
      <c r="BV48" s="262" t="s">
        <v>153</v>
      </c>
      <c r="BW48" s="262">
        <v>1</v>
      </c>
      <c r="BX48" s="260"/>
      <c r="BY48" s="260" t="s">
        <v>928</v>
      </c>
    </row>
    <row r="49" spans="1:77" x14ac:dyDescent="0.15">
      <c r="A49" s="260">
        <v>2221</v>
      </c>
      <c r="B49" s="270">
        <v>43565</v>
      </c>
      <c r="C49" s="261" t="s">
        <v>453</v>
      </c>
      <c r="D49" s="260" t="s">
        <v>454</v>
      </c>
      <c r="E49" s="260">
        <v>4</v>
      </c>
      <c r="F49" s="260" t="s">
        <v>507</v>
      </c>
      <c r="G49" s="270">
        <v>43543</v>
      </c>
      <c r="H49" s="262" t="s">
        <v>456</v>
      </c>
      <c r="I49" s="262" t="s">
        <v>457</v>
      </c>
      <c r="J49" s="262">
        <v>16</v>
      </c>
      <c r="K49" s="260" t="s">
        <v>303</v>
      </c>
      <c r="L49" s="260" t="s">
        <v>919</v>
      </c>
      <c r="M49" s="369">
        <v>159.69999999999999</v>
      </c>
      <c r="N49" s="369">
        <v>37.1</v>
      </c>
      <c r="O49" s="260"/>
      <c r="P49" s="263"/>
      <c r="Q49" s="264"/>
      <c r="R49" s="263"/>
      <c r="S49" s="264"/>
      <c r="T49" s="263"/>
      <c r="U49" s="260"/>
      <c r="V49" s="264"/>
      <c r="W49" s="369">
        <v>27.4</v>
      </c>
      <c r="X49" s="263"/>
      <c r="Y49" s="260"/>
      <c r="Z49" s="263"/>
      <c r="AA49" s="260"/>
      <c r="AB49" s="263"/>
      <c r="AC49" s="260"/>
      <c r="AD49" s="260"/>
      <c r="AE49" s="264"/>
      <c r="AF49" s="264"/>
      <c r="AG49" s="263"/>
      <c r="AH49" s="260"/>
      <c r="AI49" s="264"/>
      <c r="AJ49" s="260"/>
      <c r="AK49" s="260"/>
      <c r="AL49" s="260"/>
      <c r="AM49" s="260"/>
      <c r="AN49" s="264"/>
      <c r="AO49" s="265"/>
      <c r="AP49" s="264"/>
      <c r="AQ49" s="370" t="s">
        <v>508</v>
      </c>
      <c r="AR49" s="262" t="s">
        <v>457</v>
      </c>
      <c r="AS49" s="262"/>
      <c r="AT49" s="262"/>
      <c r="AU49" s="262">
        <v>6.8</v>
      </c>
      <c r="AV49" s="262"/>
      <c r="AW49" s="262"/>
      <c r="AX49" s="262"/>
      <c r="AY49" s="262"/>
      <c r="AZ49" s="262" t="s">
        <v>462</v>
      </c>
      <c r="BA49" s="260"/>
      <c r="BB49" s="262">
        <v>0</v>
      </c>
      <c r="BC49" s="262">
        <v>0</v>
      </c>
      <c r="BD49" s="262">
        <v>0</v>
      </c>
      <c r="BE49" s="262">
        <v>0</v>
      </c>
      <c r="BF49" s="262">
        <v>0</v>
      </c>
      <c r="BG49" s="262">
        <v>0</v>
      </c>
      <c r="BH49" s="262">
        <v>0</v>
      </c>
      <c r="BI49" s="262">
        <v>0</v>
      </c>
      <c r="BJ49" s="262">
        <v>0</v>
      </c>
      <c r="BK49" s="262">
        <v>0</v>
      </c>
      <c r="BL49" s="262"/>
      <c r="BM49" s="262"/>
      <c r="BN49" s="262"/>
      <c r="BO49" s="262" t="s">
        <v>457</v>
      </c>
      <c r="BP49" s="371"/>
      <c r="BQ49" s="262"/>
      <c r="BR49" s="262"/>
      <c r="BS49" s="260"/>
      <c r="BT49" s="260"/>
      <c r="BU49" s="262"/>
      <c r="BV49" s="262" t="s">
        <v>457</v>
      </c>
      <c r="BW49" s="262"/>
      <c r="BX49" s="260"/>
      <c r="BY49" s="260" t="s">
        <v>929</v>
      </c>
    </row>
    <row r="50" spans="1:77" x14ac:dyDescent="0.15">
      <c r="A50" s="260">
        <v>3</v>
      </c>
      <c r="B50" s="270">
        <v>43565</v>
      </c>
      <c r="C50" s="261" t="s">
        <v>453</v>
      </c>
      <c r="D50" s="260" t="s">
        <v>454</v>
      </c>
      <c r="E50" s="260">
        <v>4</v>
      </c>
      <c r="F50" s="260" t="s">
        <v>507</v>
      </c>
      <c r="G50" s="270">
        <v>43539</v>
      </c>
      <c r="H50" s="262" t="s">
        <v>456</v>
      </c>
      <c r="I50" s="262" t="s">
        <v>457</v>
      </c>
      <c r="J50" s="262">
        <v>17</v>
      </c>
      <c r="K50" s="260" t="s">
        <v>805</v>
      </c>
      <c r="L50" s="260" t="s">
        <v>806</v>
      </c>
      <c r="M50" s="369">
        <v>93.490909090909085</v>
      </c>
      <c r="N50" s="369">
        <v>37.927272727272722</v>
      </c>
      <c r="O50" s="260"/>
      <c r="P50" s="263"/>
      <c r="Q50" s="264"/>
      <c r="R50" s="263"/>
      <c r="S50" s="264"/>
      <c r="T50" s="263"/>
      <c r="U50" s="260"/>
      <c r="V50" s="264"/>
      <c r="W50" s="369">
        <v>29.418181818181814</v>
      </c>
      <c r="X50" s="263"/>
      <c r="Y50" s="260"/>
      <c r="Z50" s="263"/>
      <c r="AA50" s="260"/>
      <c r="AB50" s="263"/>
      <c r="AC50" s="260"/>
      <c r="AD50" s="260"/>
      <c r="AE50" s="264"/>
      <c r="AF50" s="264"/>
      <c r="AG50" s="263"/>
      <c r="AH50" s="260"/>
      <c r="AI50" s="264"/>
      <c r="AJ50" s="260"/>
      <c r="AK50" s="260"/>
      <c r="AL50" s="260"/>
      <c r="AM50" s="260"/>
      <c r="AN50" s="264"/>
      <c r="AO50" s="265"/>
      <c r="AP50" s="264"/>
      <c r="AQ50" s="370" t="s">
        <v>508</v>
      </c>
      <c r="AR50" s="262" t="s">
        <v>457</v>
      </c>
      <c r="AS50" s="262"/>
      <c r="AT50" s="262"/>
      <c r="AU50" s="262">
        <v>7</v>
      </c>
      <c r="AV50" s="262"/>
      <c r="AW50" s="262"/>
      <c r="AX50" s="262"/>
      <c r="AY50" s="262"/>
      <c r="AZ50" s="262" t="s">
        <v>457</v>
      </c>
      <c r="BA50" s="260"/>
      <c r="BB50" s="262">
        <v>0</v>
      </c>
      <c r="BC50" s="262">
        <v>0</v>
      </c>
      <c r="BD50" s="262">
        <v>0</v>
      </c>
      <c r="BE50" s="262">
        <v>0</v>
      </c>
      <c r="BF50" s="262">
        <v>0</v>
      </c>
      <c r="BG50" s="262">
        <v>0</v>
      </c>
      <c r="BH50" s="262">
        <v>0</v>
      </c>
      <c r="BI50" s="262">
        <v>0</v>
      </c>
      <c r="BJ50" s="262">
        <v>0</v>
      </c>
      <c r="BK50" s="262">
        <v>0</v>
      </c>
      <c r="BL50" s="262"/>
      <c r="BM50" s="262"/>
      <c r="BN50" s="262"/>
      <c r="BO50" s="262" t="s">
        <v>457</v>
      </c>
      <c r="BP50" s="371"/>
      <c r="BQ50" s="262"/>
      <c r="BR50" s="262"/>
      <c r="BS50" s="260"/>
      <c r="BT50" s="260"/>
      <c r="BU50" s="262"/>
      <c r="BV50" s="262" t="s">
        <v>457</v>
      </c>
      <c r="BW50" s="262"/>
      <c r="BX50" s="260"/>
      <c r="BY50" s="260" t="s">
        <v>930</v>
      </c>
    </row>
  </sheetData>
  <sheetProtection algorithmName="SHA-512" hashValue="SZeKT8brxOrqyxPe13mERuznw+967dTLLdsAZ5Q/zAAr8sw1XZQLLHozSo2Z38srU5za0xVSPWAsoWP1L80BBQ==" saltValue="1gRnAY/WROwfP2C7SwAni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91CE2-6929-2443-82FB-EB8B0C832309}">
  <sheetPr codeName="Sheet29"/>
  <dimension ref="A1:BY44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BB2" sqref="BB2:BE44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260">
        <v>1915</v>
      </c>
      <c r="B2" s="368">
        <v>43383</v>
      </c>
      <c r="C2" s="261" t="s">
        <v>755</v>
      </c>
      <c r="D2" s="260" t="s">
        <v>454</v>
      </c>
      <c r="E2" s="260"/>
      <c r="F2" s="260" t="s">
        <v>756</v>
      </c>
      <c r="G2" s="270">
        <v>43284</v>
      </c>
      <c r="H2" s="262" t="s">
        <v>757</v>
      </c>
      <c r="I2" s="262" t="s">
        <v>758</v>
      </c>
      <c r="J2" s="262">
        <v>1</v>
      </c>
      <c r="K2" s="260" t="s">
        <v>759</v>
      </c>
      <c r="L2" s="260" t="s">
        <v>855</v>
      </c>
      <c r="M2" s="369">
        <v>99.463636363636354</v>
      </c>
      <c r="N2" s="369">
        <v>34.318181818181813</v>
      </c>
      <c r="O2" s="260"/>
      <c r="P2" s="263"/>
      <c r="Q2" s="264"/>
      <c r="R2" s="263"/>
      <c r="S2" s="264"/>
      <c r="T2" s="263"/>
      <c r="U2" s="260"/>
      <c r="V2" s="264"/>
      <c r="W2" s="264"/>
      <c r="X2" s="260"/>
      <c r="Y2" s="260"/>
      <c r="Z2" s="260"/>
      <c r="AA2" s="260"/>
      <c r="AB2" s="263"/>
      <c r="AC2" s="260"/>
      <c r="AD2" s="260"/>
      <c r="AE2" s="264"/>
      <c r="AF2" s="264"/>
      <c r="AG2" s="263"/>
      <c r="AH2" s="260"/>
      <c r="AI2" s="264"/>
      <c r="AJ2" s="260"/>
      <c r="AK2" s="260"/>
      <c r="AL2" s="260"/>
      <c r="AM2" s="260"/>
      <c r="AN2" s="264"/>
      <c r="AO2" s="265"/>
      <c r="AP2" s="264"/>
      <c r="AQ2" s="370" t="s">
        <v>761</v>
      </c>
      <c r="AR2" s="262" t="s">
        <v>174</v>
      </c>
      <c r="AS2" s="262"/>
      <c r="AT2" s="262"/>
      <c r="AU2" s="262"/>
      <c r="AV2" s="262">
        <v>5</v>
      </c>
      <c r="AW2" s="262"/>
      <c r="AX2" s="262"/>
      <c r="AY2" s="262"/>
      <c r="AZ2" s="262" t="s">
        <v>762</v>
      </c>
      <c r="BA2" s="260"/>
      <c r="BB2" s="262">
        <v>0</v>
      </c>
      <c r="BC2" s="262">
        <v>0</v>
      </c>
      <c r="BD2" s="262">
        <v>0</v>
      </c>
      <c r="BE2" s="262">
        <v>0</v>
      </c>
      <c r="BF2" s="262">
        <v>0</v>
      </c>
      <c r="BG2" s="262">
        <v>0</v>
      </c>
      <c r="BH2" s="262">
        <v>0</v>
      </c>
      <c r="BI2" s="262">
        <v>0</v>
      </c>
      <c r="BJ2" s="262">
        <v>0</v>
      </c>
      <c r="BK2" s="262">
        <v>0</v>
      </c>
      <c r="BL2" s="262">
        <v>12</v>
      </c>
      <c r="BM2" s="262"/>
      <c r="BN2" s="262">
        <v>12</v>
      </c>
      <c r="BO2" s="262" t="s">
        <v>758</v>
      </c>
      <c r="BP2" s="371"/>
      <c r="BQ2" s="262"/>
      <c r="BR2" s="262"/>
      <c r="BS2" s="260"/>
      <c r="BT2" s="260"/>
      <c r="BU2" s="262"/>
      <c r="BV2" s="262" t="s">
        <v>758</v>
      </c>
      <c r="BW2" s="262"/>
      <c r="BX2" s="260" t="s">
        <v>763</v>
      </c>
      <c r="BY2" s="266" t="s">
        <v>856</v>
      </c>
    </row>
    <row r="3" spans="1:77" x14ac:dyDescent="0.15">
      <c r="A3" s="260">
        <v>168</v>
      </c>
      <c r="B3" s="368">
        <v>43383</v>
      </c>
      <c r="C3" s="261" t="s">
        <v>755</v>
      </c>
      <c r="D3" s="260" t="s">
        <v>454</v>
      </c>
      <c r="E3" s="260"/>
      <c r="F3" s="260" t="s">
        <v>756</v>
      </c>
      <c r="G3" s="267">
        <v>43343</v>
      </c>
      <c r="H3" s="262" t="s">
        <v>175</v>
      </c>
      <c r="I3" s="262" t="s">
        <v>174</v>
      </c>
      <c r="J3" s="262">
        <v>2</v>
      </c>
      <c r="K3" s="260" t="s">
        <v>765</v>
      </c>
      <c r="L3" s="260" t="s">
        <v>766</v>
      </c>
      <c r="M3" s="369">
        <v>93.018181818181802</v>
      </c>
      <c r="N3" s="369">
        <v>34.136363636363633</v>
      </c>
      <c r="O3" s="260"/>
      <c r="P3" s="263"/>
      <c r="Q3" s="264"/>
      <c r="R3" s="263"/>
      <c r="S3" s="264"/>
      <c r="T3" s="263"/>
      <c r="U3" s="260"/>
      <c r="V3" s="264"/>
      <c r="W3" s="264"/>
      <c r="X3" s="260"/>
      <c r="Y3" s="260"/>
      <c r="Z3" s="260"/>
      <c r="AA3" s="260"/>
      <c r="AB3" s="260"/>
      <c r="AC3" s="260"/>
      <c r="AD3" s="260"/>
      <c r="AE3" s="264"/>
      <c r="AF3" s="264"/>
      <c r="AG3" s="263"/>
      <c r="AH3" s="260"/>
      <c r="AI3" s="264"/>
      <c r="AJ3" s="260"/>
      <c r="AK3" s="260"/>
      <c r="AL3" s="260"/>
      <c r="AM3" s="260"/>
      <c r="AN3" s="264"/>
      <c r="AO3" s="265"/>
      <c r="AP3" s="264"/>
      <c r="AQ3" s="370" t="s">
        <v>761</v>
      </c>
      <c r="AR3" s="262" t="s">
        <v>758</v>
      </c>
      <c r="AS3" s="262"/>
      <c r="AT3" s="262"/>
      <c r="AU3" s="262"/>
      <c r="AV3" s="262">
        <v>8</v>
      </c>
      <c r="AW3" s="262"/>
      <c r="AX3" s="262"/>
      <c r="AY3" s="262"/>
      <c r="AZ3" s="262" t="s">
        <v>758</v>
      </c>
      <c r="BA3" s="260"/>
      <c r="BB3" s="262">
        <v>0</v>
      </c>
      <c r="BC3" s="262">
        <v>0</v>
      </c>
      <c r="BD3" s="262">
        <v>0</v>
      </c>
      <c r="BE3" s="262">
        <v>0</v>
      </c>
      <c r="BF3" s="262">
        <v>0</v>
      </c>
      <c r="BG3" s="262">
        <v>0</v>
      </c>
      <c r="BH3" s="262">
        <v>0</v>
      </c>
      <c r="BI3" s="262">
        <v>0</v>
      </c>
      <c r="BJ3" s="262">
        <v>0</v>
      </c>
      <c r="BK3" s="262">
        <v>0</v>
      </c>
      <c r="BL3" s="262"/>
      <c r="BM3" s="262"/>
      <c r="BN3" s="262"/>
      <c r="BO3" s="262" t="s">
        <v>758</v>
      </c>
      <c r="BP3" s="371"/>
      <c r="BQ3" s="262"/>
      <c r="BR3" s="262"/>
      <c r="BS3" s="260"/>
      <c r="BT3" s="260"/>
      <c r="BU3" s="262"/>
      <c r="BV3" s="262" t="s">
        <v>758</v>
      </c>
      <c r="BW3" s="262">
        <v>1</v>
      </c>
      <c r="BX3" s="260"/>
      <c r="BY3" s="260" t="s">
        <v>857</v>
      </c>
    </row>
    <row r="4" spans="1:77" x14ac:dyDescent="0.15">
      <c r="A4" s="260">
        <v>432</v>
      </c>
      <c r="B4" s="368">
        <v>43383</v>
      </c>
      <c r="C4" s="261" t="s">
        <v>315</v>
      </c>
      <c r="D4" s="260" t="s">
        <v>454</v>
      </c>
      <c r="E4" s="260"/>
      <c r="F4" s="260" t="s">
        <v>317</v>
      </c>
      <c r="G4" s="270">
        <v>43281</v>
      </c>
      <c r="H4" s="262" t="s">
        <v>334</v>
      </c>
      <c r="I4" s="262" t="s">
        <v>318</v>
      </c>
      <c r="J4" s="262">
        <v>3</v>
      </c>
      <c r="K4" s="260" t="s">
        <v>341</v>
      </c>
      <c r="L4" s="260" t="s">
        <v>858</v>
      </c>
      <c r="M4" s="369">
        <v>92.999999999999986</v>
      </c>
      <c r="N4" s="369">
        <v>36.154545454545456</v>
      </c>
      <c r="O4" s="260" t="s">
        <v>518</v>
      </c>
      <c r="P4" s="263">
        <v>1000</v>
      </c>
      <c r="Q4" s="369">
        <v>38.999999999999993</v>
      </c>
      <c r="R4" s="263"/>
      <c r="S4" s="369"/>
      <c r="T4" s="263"/>
      <c r="U4" s="260"/>
      <c r="V4" s="264"/>
      <c r="W4" s="264"/>
      <c r="X4" s="260"/>
      <c r="Y4" s="260"/>
      <c r="Z4" s="260"/>
      <c r="AA4" s="260"/>
      <c r="AB4" s="260"/>
      <c r="AC4" s="260"/>
      <c r="AD4" s="260"/>
      <c r="AE4" s="264"/>
      <c r="AF4" s="264"/>
      <c r="AG4" s="263"/>
      <c r="AH4" s="260"/>
      <c r="AI4" s="264"/>
      <c r="AJ4" s="260"/>
      <c r="AK4" s="260"/>
      <c r="AL4" s="260"/>
      <c r="AM4" s="260"/>
      <c r="AN4" s="264"/>
      <c r="AO4" s="265"/>
      <c r="AP4" s="264"/>
      <c r="AQ4" s="370" t="s">
        <v>322</v>
      </c>
      <c r="AR4" s="262" t="s">
        <v>318</v>
      </c>
      <c r="AS4" s="262"/>
      <c r="AT4" s="262"/>
      <c r="AU4" s="262"/>
      <c r="AV4" s="262">
        <v>5.2</v>
      </c>
      <c r="AW4" s="262"/>
      <c r="AX4" s="262"/>
      <c r="AY4" s="262"/>
      <c r="AZ4" s="262" t="s">
        <v>323</v>
      </c>
      <c r="BA4" s="260"/>
      <c r="BB4" s="262">
        <v>0</v>
      </c>
      <c r="BC4" s="262">
        <v>0</v>
      </c>
      <c r="BD4" s="262">
        <v>2</v>
      </c>
      <c r="BE4" s="262">
        <v>0</v>
      </c>
      <c r="BF4" s="262">
        <v>0</v>
      </c>
      <c r="BG4" s="262">
        <v>0</v>
      </c>
      <c r="BH4" s="262">
        <v>0</v>
      </c>
      <c r="BI4" s="262">
        <v>0</v>
      </c>
      <c r="BJ4" s="262">
        <v>0</v>
      </c>
      <c r="BK4" s="262">
        <v>0</v>
      </c>
      <c r="BL4" s="262"/>
      <c r="BM4" s="262"/>
      <c r="BN4" s="262"/>
      <c r="BO4" s="262" t="s">
        <v>318</v>
      </c>
      <c r="BP4" s="371"/>
      <c r="BQ4" s="262"/>
      <c r="BR4" s="262"/>
      <c r="BS4" s="260"/>
      <c r="BT4" s="260"/>
      <c r="BU4" s="262"/>
      <c r="BV4" s="262" t="s">
        <v>318</v>
      </c>
      <c r="BW4" s="262"/>
      <c r="BX4" s="260"/>
      <c r="BY4" s="260" t="s">
        <v>627</v>
      </c>
    </row>
    <row r="5" spans="1:77" x14ac:dyDescent="0.15">
      <c r="A5" s="260">
        <v>753</v>
      </c>
      <c r="B5" s="368">
        <v>43383</v>
      </c>
      <c r="C5" s="261" t="s">
        <v>453</v>
      </c>
      <c r="D5" s="260" t="s">
        <v>454</v>
      </c>
      <c r="E5" s="260"/>
      <c r="F5" s="260" t="s">
        <v>455</v>
      </c>
      <c r="G5" s="270">
        <v>43356</v>
      </c>
      <c r="H5" s="262" t="s">
        <v>456</v>
      </c>
      <c r="I5" s="262" t="s">
        <v>457</v>
      </c>
      <c r="J5" s="262">
        <v>4</v>
      </c>
      <c r="K5" s="260" t="s">
        <v>476</v>
      </c>
      <c r="L5" s="260" t="s">
        <v>859</v>
      </c>
      <c r="M5" s="369">
        <v>104.5</v>
      </c>
      <c r="N5" s="369">
        <v>37.445454545454538</v>
      </c>
      <c r="O5" s="260"/>
      <c r="P5" s="263"/>
      <c r="Q5" s="264"/>
      <c r="R5" s="263"/>
      <c r="S5" s="264"/>
      <c r="T5" s="263"/>
      <c r="U5" s="260"/>
      <c r="V5" s="264"/>
      <c r="W5" s="264"/>
      <c r="X5" s="263"/>
      <c r="Y5" s="260"/>
      <c r="Z5" s="263"/>
      <c r="AA5" s="260"/>
      <c r="AB5" s="263"/>
      <c r="AC5" s="260"/>
      <c r="AD5" s="260"/>
      <c r="AE5" s="264"/>
      <c r="AF5" s="264"/>
      <c r="AG5" s="263"/>
      <c r="AH5" s="260"/>
      <c r="AI5" s="264"/>
      <c r="AJ5" s="260"/>
      <c r="AK5" s="260"/>
      <c r="AL5" s="260"/>
      <c r="AM5" s="260"/>
      <c r="AN5" s="264"/>
      <c r="AO5" s="265"/>
      <c r="AP5" s="264"/>
      <c r="AQ5" s="370" t="s">
        <v>460</v>
      </c>
      <c r="AR5" s="262" t="s">
        <v>457</v>
      </c>
      <c r="AS5" s="262"/>
      <c r="AT5" s="262"/>
      <c r="AU5" s="262"/>
      <c r="AV5" s="262">
        <v>9.35</v>
      </c>
      <c r="AW5" s="262"/>
      <c r="AX5" s="262"/>
      <c r="AY5" s="262"/>
      <c r="AZ5" s="262" t="s">
        <v>462</v>
      </c>
      <c r="BA5" s="260"/>
      <c r="BB5" s="262">
        <v>2</v>
      </c>
      <c r="BC5" s="262">
        <v>0</v>
      </c>
      <c r="BD5" s="262">
        <v>0</v>
      </c>
      <c r="BE5" s="262">
        <v>0</v>
      </c>
      <c r="BF5" s="262">
        <v>0</v>
      </c>
      <c r="BG5" s="262">
        <v>0</v>
      </c>
      <c r="BH5" s="262">
        <v>0</v>
      </c>
      <c r="BI5" s="262">
        <v>0</v>
      </c>
      <c r="BJ5" s="262">
        <v>0</v>
      </c>
      <c r="BK5" s="262">
        <v>0</v>
      </c>
      <c r="BL5" s="262"/>
      <c r="BM5" s="262"/>
      <c r="BN5" s="262">
        <v>24</v>
      </c>
      <c r="BO5" s="262" t="s">
        <v>457</v>
      </c>
      <c r="BP5" s="371"/>
      <c r="BQ5" s="262"/>
      <c r="BR5" s="262"/>
      <c r="BS5" s="260"/>
      <c r="BT5" s="260"/>
      <c r="BU5" s="262"/>
      <c r="BV5" s="262" t="s">
        <v>457</v>
      </c>
      <c r="BW5" s="262">
        <v>1</v>
      </c>
      <c r="BX5" s="260"/>
      <c r="BY5" s="260" t="s">
        <v>860</v>
      </c>
    </row>
    <row r="6" spans="1:77" x14ac:dyDescent="0.15">
      <c r="A6" s="260">
        <v>977</v>
      </c>
      <c r="B6" s="368">
        <v>43383</v>
      </c>
      <c r="C6" s="261" t="s">
        <v>861</v>
      </c>
      <c r="D6" s="260" t="s">
        <v>454</v>
      </c>
      <c r="E6" s="260"/>
      <c r="F6" s="260" t="s">
        <v>862</v>
      </c>
      <c r="G6" s="270">
        <v>43302</v>
      </c>
      <c r="H6" s="262" t="s">
        <v>863</v>
      </c>
      <c r="I6" s="262" t="s">
        <v>864</v>
      </c>
      <c r="J6" s="262">
        <v>5</v>
      </c>
      <c r="K6" s="260" t="s">
        <v>302</v>
      </c>
      <c r="L6" s="260" t="s">
        <v>521</v>
      </c>
      <c r="M6" s="369">
        <v>130</v>
      </c>
      <c r="N6" s="369">
        <v>36.354545454545452</v>
      </c>
      <c r="O6" s="260"/>
      <c r="P6" s="263"/>
      <c r="Q6" s="264"/>
      <c r="R6" s="263"/>
      <c r="S6" s="264"/>
      <c r="T6" s="263"/>
      <c r="U6" s="260"/>
      <c r="V6" s="264"/>
      <c r="W6" s="264"/>
      <c r="X6" s="260"/>
      <c r="Y6" s="260"/>
      <c r="Z6" s="260"/>
      <c r="AA6" s="260"/>
      <c r="AB6" s="260"/>
      <c r="AC6" s="260"/>
      <c r="AD6" s="260"/>
      <c r="AE6" s="264"/>
      <c r="AF6" s="264"/>
      <c r="AG6" s="263"/>
      <c r="AH6" s="260"/>
      <c r="AI6" s="264"/>
      <c r="AJ6" s="260"/>
      <c r="AK6" s="260"/>
      <c r="AL6" s="260"/>
      <c r="AM6" s="260"/>
      <c r="AN6" s="264"/>
      <c r="AO6" s="265"/>
      <c r="AP6" s="264"/>
      <c r="AQ6" s="260" t="s">
        <v>865</v>
      </c>
      <c r="AR6" s="262" t="s">
        <v>864</v>
      </c>
      <c r="AS6" s="262"/>
      <c r="AT6" s="262"/>
      <c r="AU6" s="262"/>
      <c r="AV6" s="262">
        <v>3</v>
      </c>
      <c r="AW6" s="262"/>
      <c r="AX6" s="262"/>
      <c r="AY6" s="262"/>
      <c r="AZ6" s="262" t="s">
        <v>361</v>
      </c>
      <c r="BA6" s="260"/>
      <c r="BB6" s="262">
        <v>0</v>
      </c>
      <c r="BC6" s="262">
        <v>0</v>
      </c>
      <c r="BD6" s="262">
        <v>0</v>
      </c>
      <c r="BE6" s="262">
        <v>0</v>
      </c>
      <c r="BF6" s="262">
        <v>0</v>
      </c>
      <c r="BG6" s="262">
        <v>0</v>
      </c>
      <c r="BH6" s="262">
        <v>0</v>
      </c>
      <c r="BI6" s="262">
        <v>0</v>
      </c>
      <c r="BJ6" s="262">
        <v>0</v>
      </c>
      <c r="BK6" s="262">
        <v>0</v>
      </c>
      <c r="BL6" s="262"/>
      <c r="BM6" s="262"/>
      <c r="BN6" s="262"/>
      <c r="BO6" s="262" t="s">
        <v>864</v>
      </c>
      <c r="BP6" s="371"/>
      <c r="BQ6" s="262"/>
      <c r="BR6" s="262"/>
      <c r="BS6" s="260"/>
      <c r="BT6" s="260"/>
      <c r="BU6" s="262"/>
      <c r="BV6" s="262" t="s">
        <v>864</v>
      </c>
      <c r="BW6" s="262"/>
      <c r="BX6" s="260"/>
      <c r="BY6" s="260" t="s">
        <v>866</v>
      </c>
    </row>
    <row r="7" spans="1:77" x14ac:dyDescent="0.15">
      <c r="A7" s="260">
        <v>1380</v>
      </c>
      <c r="B7" s="368">
        <v>43383</v>
      </c>
      <c r="C7" s="261" t="s">
        <v>755</v>
      </c>
      <c r="D7" s="260" t="s">
        <v>454</v>
      </c>
      <c r="E7" s="260"/>
      <c r="F7" s="260" t="s">
        <v>756</v>
      </c>
      <c r="G7" s="270">
        <v>43305</v>
      </c>
      <c r="H7" s="262" t="s">
        <v>757</v>
      </c>
      <c r="I7" s="262" t="s">
        <v>758</v>
      </c>
      <c r="J7" s="262">
        <v>6</v>
      </c>
      <c r="K7" s="260" t="s">
        <v>773</v>
      </c>
      <c r="L7" s="260" t="s">
        <v>774</v>
      </c>
      <c r="M7" s="369">
        <v>86.454545454545439</v>
      </c>
      <c r="N7" s="369">
        <v>34.381818181818183</v>
      </c>
      <c r="O7" s="260"/>
      <c r="P7" s="263"/>
      <c r="Q7" s="264"/>
      <c r="R7" s="260"/>
      <c r="S7" s="264"/>
      <c r="T7" s="263"/>
      <c r="U7" s="260"/>
      <c r="V7" s="264"/>
      <c r="W7" s="264"/>
      <c r="X7" s="260"/>
      <c r="Y7" s="260"/>
      <c r="Z7" s="263"/>
      <c r="AA7" s="260"/>
      <c r="AB7" s="263"/>
      <c r="AC7" s="260"/>
      <c r="AD7" s="260"/>
      <c r="AE7" s="264"/>
      <c r="AF7" s="264"/>
      <c r="AG7" s="263"/>
      <c r="AH7" s="260"/>
      <c r="AI7" s="264"/>
      <c r="AJ7" s="260"/>
      <c r="AK7" s="260"/>
      <c r="AL7" s="260"/>
      <c r="AM7" s="260"/>
      <c r="AN7" s="260"/>
      <c r="AO7" s="265"/>
      <c r="AP7" s="264"/>
      <c r="AQ7" s="370" t="s">
        <v>761</v>
      </c>
      <c r="AR7" s="262" t="s">
        <v>758</v>
      </c>
      <c r="AS7" s="262"/>
      <c r="AT7" s="262"/>
      <c r="AU7" s="262"/>
      <c r="AV7" s="262">
        <v>5</v>
      </c>
      <c r="AW7" s="262"/>
      <c r="AX7" s="262"/>
      <c r="AY7" s="262"/>
      <c r="AZ7" s="262" t="s">
        <v>762</v>
      </c>
      <c r="BA7" s="260"/>
      <c r="BB7" s="262">
        <v>0</v>
      </c>
      <c r="BC7" s="262">
        <v>0</v>
      </c>
      <c r="BD7" s="262">
        <v>0</v>
      </c>
      <c r="BE7" s="262">
        <v>0</v>
      </c>
      <c r="BF7" s="262">
        <v>0</v>
      </c>
      <c r="BG7" s="262">
        <v>0</v>
      </c>
      <c r="BH7" s="262">
        <v>0</v>
      </c>
      <c r="BI7" s="262">
        <v>0</v>
      </c>
      <c r="BJ7" s="262">
        <v>0</v>
      </c>
      <c r="BK7" s="262">
        <v>0</v>
      </c>
      <c r="BL7" s="262"/>
      <c r="BM7" s="262"/>
      <c r="BN7" s="262">
        <v>12</v>
      </c>
      <c r="BO7" s="262" t="s">
        <v>758</v>
      </c>
      <c r="BP7" s="371"/>
      <c r="BQ7" s="262"/>
      <c r="BR7" s="262"/>
      <c r="BS7" s="260"/>
      <c r="BT7" s="260"/>
      <c r="BU7" s="262"/>
      <c r="BV7" s="262" t="s">
        <v>758</v>
      </c>
      <c r="BW7" s="262"/>
      <c r="BX7" s="260"/>
      <c r="BY7" s="372" t="s">
        <v>867</v>
      </c>
    </row>
    <row r="8" spans="1:77" x14ac:dyDescent="0.15">
      <c r="A8" s="260">
        <v>1714</v>
      </c>
      <c r="B8" s="368">
        <v>43383</v>
      </c>
      <c r="C8" s="261" t="s">
        <v>861</v>
      </c>
      <c r="D8" s="260" t="s">
        <v>454</v>
      </c>
      <c r="E8" s="260"/>
      <c r="F8" s="260" t="s">
        <v>862</v>
      </c>
      <c r="G8" s="270">
        <v>43302</v>
      </c>
      <c r="H8" s="262" t="s">
        <v>863</v>
      </c>
      <c r="I8" s="262" t="s">
        <v>864</v>
      </c>
      <c r="J8" s="262">
        <v>7</v>
      </c>
      <c r="K8" s="260" t="s">
        <v>868</v>
      </c>
      <c r="L8" s="260" t="s">
        <v>525</v>
      </c>
      <c r="M8" s="369">
        <v>130</v>
      </c>
      <c r="N8" s="369">
        <v>36.354545454545452</v>
      </c>
      <c r="O8" s="260"/>
      <c r="P8" s="263"/>
      <c r="Q8" s="264"/>
      <c r="R8" s="263"/>
      <c r="S8" s="264"/>
      <c r="T8" s="260"/>
      <c r="U8" s="260"/>
      <c r="V8" s="264"/>
      <c r="W8" s="264"/>
      <c r="X8" s="260"/>
      <c r="Y8" s="260"/>
      <c r="Z8" s="260"/>
      <c r="AA8" s="260"/>
      <c r="AB8" s="260"/>
      <c r="AC8" s="260"/>
      <c r="AD8" s="260"/>
      <c r="AE8" s="264"/>
      <c r="AF8" s="264"/>
      <c r="AG8" s="263"/>
      <c r="AH8" s="260"/>
      <c r="AI8" s="264"/>
      <c r="AJ8" s="260"/>
      <c r="AK8" s="260"/>
      <c r="AL8" s="260"/>
      <c r="AM8" s="260"/>
      <c r="AN8" s="264"/>
      <c r="AO8" s="265"/>
      <c r="AP8" s="264"/>
      <c r="AQ8" s="260" t="s">
        <v>865</v>
      </c>
      <c r="AR8" s="262" t="s">
        <v>864</v>
      </c>
      <c r="AS8" s="262"/>
      <c r="AT8" s="262"/>
      <c r="AU8" s="262"/>
      <c r="AV8" s="262">
        <v>3</v>
      </c>
      <c r="AW8" s="262"/>
      <c r="AX8" s="262"/>
      <c r="AY8" s="262"/>
      <c r="AZ8" s="262" t="s">
        <v>869</v>
      </c>
      <c r="BA8" s="260"/>
      <c r="BB8" s="262">
        <v>0</v>
      </c>
      <c r="BC8" s="262">
        <v>0</v>
      </c>
      <c r="BD8" s="262">
        <v>0</v>
      </c>
      <c r="BE8" s="262">
        <v>0</v>
      </c>
      <c r="BF8" s="262">
        <v>0</v>
      </c>
      <c r="BG8" s="262">
        <v>0</v>
      </c>
      <c r="BH8" s="262">
        <v>0</v>
      </c>
      <c r="BI8" s="262">
        <v>0</v>
      </c>
      <c r="BJ8" s="262">
        <v>0</v>
      </c>
      <c r="BK8" s="262">
        <v>0</v>
      </c>
      <c r="BL8" s="262"/>
      <c r="BM8" s="262"/>
      <c r="BN8" s="262"/>
      <c r="BO8" s="262" t="s">
        <v>864</v>
      </c>
      <c r="BP8" s="371"/>
      <c r="BQ8" s="262"/>
      <c r="BR8" s="373"/>
      <c r="BS8" s="260"/>
      <c r="BT8" s="260"/>
      <c r="BU8" s="262"/>
      <c r="BV8" s="262" t="s">
        <v>864</v>
      </c>
      <c r="BW8" s="262"/>
      <c r="BX8" s="260"/>
      <c r="BY8" s="260" t="s">
        <v>870</v>
      </c>
    </row>
    <row r="9" spans="1:77" x14ac:dyDescent="0.15">
      <c r="A9" s="260">
        <v>2036</v>
      </c>
      <c r="B9" s="368">
        <v>43383</v>
      </c>
      <c r="C9" s="261" t="s">
        <v>861</v>
      </c>
      <c r="D9" s="260" t="s">
        <v>454</v>
      </c>
      <c r="E9" s="260"/>
      <c r="F9" s="260" t="s">
        <v>862</v>
      </c>
      <c r="G9" s="270">
        <v>43281</v>
      </c>
      <c r="H9" s="262" t="s">
        <v>863</v>
      </c>
      <c r="I9" s="262" t="s">
        <v>864</v>
      </c>
      <c r="J9" s="262">
        <v>8</v>
      </c>
      <c r="K9" s="260" t="s">
        <v>254</v>
      </c>
      <c r="L9" s="260" t="s">
        <v>871</v>
      </c>
      <c r="M9" s="369">
        <v>102.49999999999999</v>
      </c>
      <c r="N9" s="369">
        <v>37.518181818181816</v>
      </c>
      <c r="O9" s="260" t="s">
        <v>518</v>
      </c>
      <c r="P9" s="263">
        <v>3822</v>
      </c>
      <c r="Q9" s="369">
        <v>39.018181818181816</v>
      </c>
      <c r="R9" s="263"/>
      <c r="S9" s="369"/>
      <c r="T9" s="260"/>
      <c r="U9" s="260"/>
      <c r="V9" s="264"/>
      <c r="W9" s="264"/>
      <c r="X9" s="260"/>
      <c r="Y9" s="260"/>
      <c r="Z9" s="260"/>
      <c r="AA9" s="260"/>
      <c r="AB9" s="260"/>
      <c r="AC9" s="260"/>
      <c r="AD9" s="260"/>
      <c r="AE9" s="264"/>
      <c r="AF9" s="264"/>
      <c r="AG9" s="263"/>
      <c r="AH9" s="260"/>
      <c r="AI9" s="264"/>
      <c r="AJ9" s="260"/>
      <c r="AK9" s="260"/>
      <c r="AL9" s="260"/>
      <c r="AM9" s="260"/>
      <c r="AN9" s="264"/>
      <c r="AO9" s="265"/>
      <c r="AP9" s="264"/>
      <c r="AQ9" s="370" t="s">
        <v>865</v>
      </c>
      <c r="AR9" s="262" t="s">
        <v>864</v>
      </c>
      <c r="AS9" s="262"/>
      <c r="AT9" s="262"/>
      <c r="AU9" s="262"/>
      <c r="AV9" s="262">
        <v>6</v>
      </c>
      <c r="AW9" s="262"/>
      <c r="AX9" s="262"/>
      <c r="AY9" s="262"/>
      <c r="AZ9" s="262" t="s">
        <v>153</v>
      </c>
      <c r="BA9" s="260"/>
      <c r="BB9" s="262">
        <v>0</v>
      </c>
      <c r="BC9" s="262">
        <v>0</v>
      </c>
      <c r="BD9" s="262">
        <v>0</v>
      </c>
      <c r="BE9" s="262">
        <v>0</v>
      </c>
      <c r="BF9" s="262">
        <v>0</v>
      </c>
      <c r="BG9" s="262">
        <v>0</v>
      </c>
      <c r="BH9" s="262">
        <v>0</v>
      </c>
      <c r="BI9" s="262">
        <v>0</v>
      </c>
      <c r="BJ9" s="262">
        <v>0</v>
      </c>
      <c r="BK9" s="262">
        <v>0</v>
      </c>
      <c r="BL9" s="262"/>
      <c r="BM9" s="262"/>
      <c r="BN9" s="262"/>
      <c r="BO9" s="262" t="s">
        <v>864</v>
      </c>
      <c r="BP9" s="371"/>
      <c r="BQ9" s="262"/>
      <c r="BR9" s="373"/>
      <c r="BS9" s="260"/>
      <c r="BT9" s="260"/>
      <c r="BU9" s="262"/>
      <c r="BV9" s="262" t="s">
        <v>864</v>
      </c>
      <c r="BW9" s="262"/>
      <c r="BX9" s="260"/>
      <c r="BY9" s="260" t="s">
        <v>872</v>
      </c>
    </row>
    <row r="10" spans="1:77" x14ac:dyDescent="0.15">
      <c r="A10" s="260">
        <v>1501</v>
      </c>
      <c r="B10" s="368">
        <v>43383</v>
      </c>
      <c r="C10" s="261" t="s">
        <v>755</v>
      </c>
      <c r="D10" s="260" t="s">
        <v>454</v>
      </c>
      <c r="E10" s="260"/>
      <c r="F10" s="260" t="s">
        <v>756</v>
      </c>
      <c r="G10" s="270">
        <v>43266</v>
      </c>
      <c r="H10" s="262" t="s">
        <v>757</v>
      </c>
      <c r="I10" s="262" t="s">
        <v>758</v>
      </c>
      <c r="J10" s="262">
        <v>9</v>
      </c>
      <c r="K10" s="260" t="s">
        <v>495</v>
      </c>
      <c r="L10" s="260" t="s">
        <v>873</v>
      </c>
      <c r="M10" s="369">
        <v>138.6181818181818</v>
      </c>
      <c r="N10" s="369">
        <v>37.25454545454545</v>
      </c>
      <c r="O10" s="260"/>
      <c r="P10" s="263"/>
      <c r="Q10" s="264"/>
      <c r="R10" s="263"/>
      <c r="S10" s="264"/>
      <c r="T10" s="260"/>
      <c r="U10" s="260"/>
      <c r="V10" s="264"/>
      <c r="W10" s="264"/>
      <c r="X10" s="260"/>
      <c r="Y10" s="260"/>
      <c r="Z10" s="260"/>
      <c r="AA10" s="260"/>
      <c r="AB10" s="260"/>
      <c r="AC10" s="260"/>
      <c r="AD10" s="260"/>
      <c r="AE10" s="264"/>
      <c r="AF10" s="264"/>
      <c r="AG10" s="263"/>
      <c r="AH10" s="260"/>
      <c r="AI10" s="264"/>
      <c r="AJ10" s="260"/>
      <c r="AK10" s="260"/>
      <c r="AL10" s="260"/>
      <c r="AM10" s="260"/>
      <c r="AN10" s="264"/>
      <c r="AO10" s="265"/>
      <c r="AP10" s="264"/>
      <c r="AQ10" s="260" t="s">
        <v>761</v>
      </c>
      <c r="AR10" s="262" t="s">
        <v>758</v>
      </c>
      <c r="AS10" s="262"/>
      <c r="AT10" s="262"/>
      <c r="AU10" s="262"/>
      <c r="AV10" s="262">
        <v>3</v>
      </c>
      <c r="AW10" s="262"/>
      <c r="AX10" s="262"/>
      <c r="AY10" s="262"/>
      <c r="AZ10" s="262" t="s">
        <v>762</v>
      </c>
      <c r="BA10" s="260"/>
      <c r="BB10" s="262">
        <v>0</v>
      </c>
      <c r="BC10" s="262">
        <v>0</v>
      </c>
      <c r="BD10" s="262">
        <v>0</v>
      </c>
      <c r="BE10" s="262">
        <v>0</v>
      </c>
      <c r="BF10" s="262">
        <v>0</v>
      </c>
      <c r="BG10" s="262">
        <v>0</v>
      </c>
      <c r="BH10" s="262">
        <v>0</v>
      </c>
      <c r="BI10" s="262">
        <v>0</v>
      </c>
      <c r="BJ10" s="262">
        <v>0</v>
      </c>
      <c r="BK10" s="262">
        <v>0</v>
      </c>
      <c r="BL10" s="262"/>
      <c r="BM10" s="262"/>
      <c r="BN10" s="262"/>
      <c r="BO10" s="262" t="s">
        <v>758</v>
      </c>
      <c r="BP10" s="371"/>
      <c r="BQ10" s="262"/>
      <c r="BR10" s="262"/>
      <c r="BS10" s="260"/>
      <c r="BT10" s="260"/>
      <c r="BU10" s="262"/>
      <c r="BV10" s="262" t="s">
        <v>758</v>
      </c>
      <c r="BW10" s="262">
        <v>1</v>
      </c>
      <c r="BX10" s="260"/>
      <c r="BY10" s="374" t="s">
        <v>874</v>
      </c>
    </row>
    <row r="11" spans="1:77" x14ac:dyDescent="0.15">
      <c r="A11" s="260">
        <v>591</v>
      </c>
      <c r="B11" s="368">
        <v>43383</v>
      </c>
      <c r="C11" s="261" t="s">
        <v>453</v>
      </c>
      <c r="D11" s="260" t="s">
        <v>454</v>
      </c>
      <c r="E11" s="260"/>
      <c r="F11" s="260" t="s">
        <v>455</v>
      </c>
      <c r="G11" s="270">
        <v>43312</v>
      </c>
      <c r="H11" s="262" t="s">
        <v>456</v>
      </c>
      <c r="I11" s="262" t="s">
        <v>457</v>
      </c>
      <c r="J11" s="262">
        <v>10</v>
      </c>
      <c r="K11" s="260" t="s">
        <v>875</v>
      </c>
      <c r="L11" s="260" t="s">
        <v>595</v>
      </c>
      <c r="M11" s="369">
        <v>72.72727272727272</v>
      </c>
      <c r="N11" s="369">
        <v>32.727272727272727</v>
      </c>
      <c r="O11" s="260"/>
      <c r="P11" s="263"/>
      <c r="Q11" s="264"/>
      <c r="R11" s="263"/>
      <c r="S11" s="264"/>
      <c r="T11" s="263"/>
      <c r="U11" s="260"/>
      <c r="V11" s="264"/>
      <c r="W11" s="264"/>
      <c r="X11" s="263"/>
      <c r="Y11" s="260"/>
      <c r="Z11" s="263"/>
      <c r="AA11" s="260"/>
      <c r="AB11" s="263"/>
      <c r="AC11" s="260"/>
      <c r="AD11" s="260"/>
      <c r="AE11" s="264"/>
      <c r="AF11" s="264"/>
      <c r="AG11" s="263"/>
      <c r="AH11" s="260"/>
      <c r="AI11" s="264"/>
      <c r="AJ11" s="260"/>
      <c r="AK11" s="260"/>
      <c r="AL11" s="260"/>
      <c r="AM11" s="260"/>
      <c r="AN11" s="264"/>
      <c r="AO11" s="265"/>
      <c r="AP11" s="264"/>
      <c r="AQ11" s="370" t="s">
        <v>460</v>
      </c>
      <c r="AR11" s="262" t="s">
        <v>457</v>
      </c>
      <c r="AS11" s="262"/>
      <c r="AT11" s="262"/>
      <c r="AU11" s="262"/>
      <c r="AV11" s="262">
        <v>9</v>
      </c>
      <c r="AW11" s="262" t="s">
        <v>876</v>
      </c>
      <c r="AX11" s="262">
        <v>6.5</v>
      </c>
      <c r="AY11" s="262">
        <v>6.5</v>
      </c>
      <c r="AZ11" s="262" t="s">
        <v>462</v>
      </c>
      <c r="BA11" s="260"/>
      <c r="BB11" s="262">
        <v>0</v>
      </c>
      <c r="BC11" s="262">
        <v>0</v>
      </c>
      <c r="BD11" s="262">
        <v>0</v>
      </c>
      <c r="BE11" s="262">
        <v>0</v>
      </c>
      <c r="BF11" s="262">
        <v>0</v>
      </c>
      <c r="BG11" s="262">
        <v>0</v>
      </c>
      <c r="BH11" s="262">
        <v>0</v>
      </c>
      <c r="BI11" s="262">
        <v>0</v>
      </c>
      <c r="BJ11" s="262">
        <v>0</v>
      </c>
      <c r="BK11" s="262">
        <v>0</v>
      </c>
      <c r="BL11" s="262"/>
      <c r="BM11" s="262"/>
      <c r="BN11" s="262"/>
      <c r="BO11" s="262" t="s">
        <v>457</v>
      </c>
      <c r="BP11" s="375">
        <v>163.58181818181816</v>
      </c>
      <c r="BQ11" s="262"/>
      <c r="BR11" s="373"/>
      <c r="BS11" s="266"/>
      <c r="BT11" s="266"/>
      <c r="BU11" s="266"/>
      <c r="BV11" s="262" t="s">
        <v>457</v>
      </c>
      <c r="BW11" s="262"/>
      <c r="BX11" s="260"/>
      <c r="BY11" s="260" t="s">
        <v>877</v>
      </c>
    </row>
    <row r="12" spans="1:77" x14ac:dyDescent="0.15">
      <c r="A12" s="260">
        <v>2032</v>
      </c>
      <c r="B12" s="368">
        <v>43383</v>
      </c>
      <c r="C12" s="261" t="s">
        <v>191</v>
      </c>
      <c r="D12" s="260" t="s">
        <v>454</v>
      </c>
      <c r="E12" s="260"/>
      <c r="F12" s="260" t="s">
        <v>181</v>
      </c>
      <c r="G12" s="270">
        <v>43273</v>
      </c>
      <c r="H12" s="262" t="s">
        <v>863</v>
      </c>
      <c r="I12" s="262" t="s">
        <v>864</v>
      </c>
      <c r="J12" s="262">
        <v>11</v>
      </c>
      <c r="K12" s="260" t="s">
        <v>691</v>
      </c>
      <c r="L12" s="260" t="s">
        <v>791</v>
      </c>
      <c r="M12" s="369">
        <v>138.37272727272727</v>
      </c>
      <c r="N12" s="369">
        <v>40.518181818181816</v>
      </c>
      <c r="O12" s="260"/>
      <c r="P12" s="263"/>
      <c r="Q12" s="264"/>
      <c r="R12" s="263"/>
      <c r="S12" s="264"/>
      <c r="T12" s="263"/>
      <c r="U12" s="260"/>
      <c r="V12" s="264"/>
      <c r="W12" s="264"/>
      <c r="X12" s="260"/>
      <c r="Y12" s="260"/>
      <c r="Z12" s="260"/>
      <c r="AA12" s="260"/>
      <c r="AB12" s="260"/>
      <c r="AC12" s="260"/>
      <c r="AD12" s="260"/>
      <c r="AE12" s="264"/>
      <c r="AF12" s="264"/>
      <c r="AG12" s="260"/>
      <c r="AH12" s="260"/>
      <c r="AI12" s="264"/>
      <c r="AJ12" s="260"/>
      <c r="AK12" s="260"/>
      <c r="AL12" s="260"/>
      <c r="AM12" s="260"/>
      <c r="AN12" s="264"/>
      <c r="AO12" s="265"/>
      <c r="AP12" s="264"/>
      <c r="AQ12" s="260" t="s">
        <v>140</v>
      </c>
      <c r="AR12" s="262" t="s">
        <v>153</v>
      </c>
      <c r="AS12" s="262"/>
      <c r="AT12" s="262"/>
      <c r="AU12" s="262"/>
      <c r="AV12" s="262"/>
      <c r="AW12" s="262"/>
      <c r="AX12" s="262"/>
      <c r="AY12" s="262"/>
      <c r="AZ12" s="262" t="s">
        <v>869</v>
      </c>
      <c r="BA12" s="260"/>
      <c r="BB12" s="262">
        <v>0</v>
      </c>
      <c r="BC12" s="262">
        <v>0</v>
      </c>
      <c r="BD12" s="262">
        <v>0</v>
      </c>
      <c r="BE12" s="262">
        <v>0</v>
      </c>
      <c r="BF12" s="262">
        <v>0</v>
      </c>
      <c r="BG12" s="262">
        <v>0</v>
      </c>
      <c r="BH12" s="262">
        <v>0</v>
      </c>
      <c r="BI12" s="262">
        <v>0</v>
      </c>
      <c r="BJ12" s="262">
        <v>0</v>
      </c>
      <c r="BK12" s="262">
        <v>0</v>
      </c>
      <c r="BL12" s="262"/>
      <c r="BM12" s="262"/>
      <c r="BN12" s="262"/>
      <c r="BO12" s="262" t="s">
        <v>153</v>
      </c>
      <c r="BP12" s="371"/>
      <c r="BQ12" s="262"/>
      <c r="BR12" s="262"/>
      <c r="BS12" s="266"/>
      <c r="BT12" s="266"/>
      <c r="BU12" s="262"/>
      <c r="BV12" s="262" t="s">
        <v>153</v>
      </c>
      <c r="BW12" s="262">
        <v>1</v>
      </c>
      <c r="BX12" s="260"/>
      <c r="BY12" s="260" t="s">
        <v>76</v>
      </c>
    </row>
    <row r="13" spans="1:77" x14ac:dyDescent="0.15">
      <c r="A13" s="260">
        <v>2100</v>
      </c>
      <c r="B13" s="368">
        <v>43383</v>
      </c>
      <c r="C13" s="261" t="s">
        <v>755</v>
      </c>
      <c r="D13" s="260" t="s">
        <v>454</v>
      </c>
      <c r="E13" s="260"/>
      <c r="F13" s="260" t="s">
        <v>756</v>
      </c>
      <c r="G13" s="267">
        <v>43350</v>
      </c>
      <c r="H13" s="262" t="s">
        <v>175</v>
      </c>
      <c r="I13" s="262" t="s">
        <v>174</v>
      </c>
      <c r="J13" s="262">
        <v>12</v>
      </c>
      <c r="K13" s="260" t="s">
        <v>794</v>
      </c>
      <c r="L13" s="260" t="s">
        <v>734</v>
      </c>
      <c r="M13" s="369">
        <v>99</v>
      </c>
      <c r="N13" s="369">
        <v>50.881818181818176</v>
      </c>
      <c r="O13" s="260"/>
      <c r="P13" s="263"/>
      <c r="Q13" s="264"/>
      <c r="R13" s="263"/>
      <c r="S13" s="264"/>
      <c r="T13" s="263"/>
      <c r="U13" s="260"/>
      <c r="V13" s="264"/>
      <c r="W13" s="264"/>
      <c r="X13" s="260"/>
      <c r="Y13" s="260"/>
      <c r="Z13" s="260"/>
      <c r="AA13" s="260"/>
      <c r="AB13" s="260"/>
      <c r="AC13" s="260"/>
      <c r="AD13" s="260"/>
      <c r="AE13" s="264"/>
      <c r="AF13" s="264"/>
      <c r="AG13" s="263"/>
      <c r="AH13" s="260"/>
      <c r="AI13" s="264"/>
      <c r="AJ13" s="260"/>
      <c r="AK13" s="260"/>
      <c r="AL13" s="260"/>
      <c r="AM13" s="260"/>
      <c r="AN13" s="264"/>
      <c r="AO13" s="265"/>
      <c r="AP13" s="264"/>
      <c r="AQ13" s="260" t="s">
        <v>761</v>
      </c>
      <c r="AR13" s="262" t="s">
        <v>758</v>
      </c>
      <c r="AS13" s="262"/>
      <c r="AT13" s="262"/>
      <c r="AU13" s="262"/>
      <c r="AV13" s="262"/>
      <c r="AW13" s="262"/>
      <c r="AX13" s="262"/>
      <c r="AY13" s="262"/>
      <c r="AZ13" s="262" t="s">
        <v>758</v>
      </c>
      <c r="BA13" s="260"/>
      <c r="BB13" s="262">
        <v>0</v>
      </c>
      <c r="BC13" s="262">
        <v>5</v>
      </c>
      <c r="BD13" s="262">
        <v>0</v>
      </c>
      <c r="BE13" s="262">
        <v>0</v>
      </c>
      <c r="BF13" s="262">
        <v>0</v>
      </c>
      <c r="BG13" s="262">
        <v>0</v>
      </c>
      <c r="BH13" s="262">
        <v>0</v>
      </c>
      <c r="BI13" s="262">
        <v>0</v>
      </c>
      <c r="BJ13" s="262">
        <v>0</v>
      </c>
      <c r="BK13" s="262">
        <v>0</v>
      </c>
      <c r="BL13" s="262"/>
      <c r="BM13" s="262"/>
      <c r="BN13" s="262"/>
      <c r="BO13" s="262" t="s">
        <v>758</v>
      </c>
      <c r="BP13" s="371"/>
      <c r="BQ13" s="262"/>
      <c r="BR13" s="262"/>
      <c r="BS13" s="266" t="s">
        <v>878</v>
      </c>
      <c r="BT13" s="266" t="s">
        <v>195</v>
      </c>
      <c r="BU13" s="262">
        <v>50</v>
      </c>
      <c r="BV13" s="262" t="s">
        <v>758</v>
      </c>
      <c r="BW13" s="262"/>
      <c r="BX13" s="266" t="s">
        <v>879</v>
      </c>
      <c r="BY13" s="260" t="s">
        <v>880</v>
      </c>
    </row>
    <row r="14" spans="1:77" x14ac:dyDescent="0.15">
      <c r="A14" s="260">
        <v>1917</v>
      </c>
      <c r="B14" s="368">
        <v>43383</v>
      </c>
      <c r="C14" s="261" t="s">
        <v>191</v>
      </c>
      <c r="D14" s="260" t="s">
        <v>454</v>
      </c>
      <c r="E14" s="260"/>
      <c r="F14" s="260" t="s">
        <v>181</v>
      </c>
      <c r="G14" s="267">
        <v>43270</v>
      </c>
      <c r="H14" s="262" t="s">
        <v>150</v>
      </c>
      <c r="I14" s="262" t="s">
        <v>153</v>
      </c>
      <c r="J14" s="262">
        <v>13</v>
      </c>
      <c r="K14" s="260" t="s">
        <v>881</v>
      </c>
      <c r="L14" s="260" t="s">
        <v>797</v>
      </c>
      <c r="M14" s="369">
        <v>80</v>
      </c>
      <c r="N14" s="369">
        <v>29.299999999999994</v>
      </c>
      <c r="O14" s="260"/>
      <c r="P14" s="263"/>
      <c r="Q14" s="264"/>
      <c r="R14" s="263"/>
      <c r="S14" s="264"/>
      <c r="T14" s="263"/>
      <c r="U14" s="260"/>
      <c r="V14" s="264"/>
      <c r="W14" s="264"/>
      <c r="X14" s="260"/>
      <c r="Y14" s="260"/>
      <c r="Z14" s="260"/>
      <c r="AA14" s="260"/>
      <c r="AB14" s="260"/>
      <c r="AC14" s="260"/>
      <c r="AD14" s="260"/>
      <c r="AE14" s="264"/>
      <c r="AF14" s="264"/>
      <c r="AG14" s="260"/>
      <c r="AH14" s="260"/>
      <c r="AI14" s="264"/>
      <c r="AJ14" s="260"/>
      <c r="AK14" s="260"/>
      <c r="AL14" s="260"/>
      <c r="AM14" s="260"/>
      <c r="AN14" s="264"/>
      <c r="AO14" s="265"/>
      <c r="AP14" s="264"/>
      <c r="AQ14" s="370" t="s">
        <v>140</v>
      </c>
      <c r="AR14" s="262" t="s">
        <v>153</v>
      </c>
      <c r="AS14" s="262"/>
      <c r="AT14" s="262"/>
      <c r="AU14" s="262"/>
      <c r="AV14" s="262">
        <v>8</v>
      </c>
      <c r="AW14" s="262"/>
      <c r="AX14" s="262"/>
      <c r="AY14" s="262"/>
      <c r="AZ14" s="262" t="s">
        <v>153</v>
      </c>
      <c r="BA14" s="260"/>
      <c r="BB14" s="262">
        <v>0</v>
      </c>
      <c r="BC14" s="262">
        <v>0</v>
      </c>
      <c r="BD14" s="262">
        <v>0</v>
      </c>
      <c r="BE14" s="262">
        <v>0</v>
      </c>
      <c r="BF14" s="262">
        <v>0</v>
      </c>
      <c r="BG14" s="262">
        <v>0</v>
      </c>
      <c r="BH14" s="262">
        <v>0</v>
      </c>
      <c r="BI14" s="262">
        <v>0</v>
      </c>
      <c r="BJ14" s="262">
        <v>0</v>
      </c>
      <c r="BK14" s="262">
        <v>0</v>
      </c>
      <c r="BL14" s="262"/>
      <c r="BM14" s="262"/>
      <c r="BN14" s="262"/>
      <c r="BO14" s="262" t="s">
        <v>153</v>
      </c>
      <c r="BP14" s="371"/>
      <c r="BQ14" s="262"/>
      <c r="BR14" s="262"/>
      <c r="BS14" s="266"/>
      <c r="BT14" s="266"/>
      <c r="BU14" s="262"/>
      <c r="BV14" s="262" t="s">
        <v>153</v>
      </c>
      <c r="BW14" s="262">
        <v>1</v>
      </c>
      <c r="BX14" s="260"/>
      <c r="BY14" s="260" t="s">
        <v>882</v>
      </c>
    </row>
    <row r="15" spans="1:77" x14ac:dyDescent="0.15">
      <c r="A15" s="260">
        <v>1908</v>
      </c>
      <c r="B15" s="368">
        <v>43383</v>
      </c>
      <c r="C15" s="261" t="s">
        <v>377</v>
      </c>
      <c r="D15" s="260" t="s">
        <v>454</v>
      </c>
      <c r="E15" s="260"/>
      <c r="F15" s="260" t="s">
        <v>756</v>
      </c>
      <c r="G15" s="270">
        <v>43281</v>
      </c>
      <c r="H15" s="262" t="s">
        <v>757</v>
      </c>
      <c r="I15" s="262" t="s">
        <v>758</v>
      </c>
      <c r="J15" s="262">
        <v>14</v>
      </c>
      <c r="K15" s="260" t="s">
        <v>799</v>
      </c>
      <c r="L15" s="260" t="s">
        <v>800</v>
      </c>
      <c r="M15" s="369">
        <v>113.58181818181816</v>
      </c>
      <c r="N15" s="369">
        <v>39.18181818181818</v>
      </c>
      <c r="O15" s="260" t="s">
        <v>518</v>
      </c>
      <c r="P15" s="263">
        <v>2492.4900000000002</v>
      </c>
      <c r="Q15" s="369">
        <v>46.181818181818173</v>
      </c>
      <c r="R15" s="263"/>
      <c r="S15" s="369"/>
      <c r="T15" s="260"/>
      <c r="U15" s="260"/>
      <c r="V15" s="264"/>
      <c r="W15" s="264"/>
      <c r="X15" s="260"/>
      <c r="Y15" s="260"/>
      <c r="Z15" s="260"/>
      <c r="AA15" s="260"/>
      <c r="AB15" s="260"/>
      <c r="AC15" s="260"/>
      <c r="AD15" s="260"/>
      <c r="AE15" s="264"/>
      <c r="AF15" s="264"/>
      <c r="AG15" s="260"/>
      <c r="AH15" s="260"/>
      <c r="AI15" s="264"/>
      <c r="AJ15" s="260"/>
      <c r="AK15" s="260"/>
      <c r="AL15" s="260"/>
      <c r="AM15" s="260"/>
      <c r="AN15" s="264"/>
      <c r="AO15" s="265"/>
      <c r="AP15" s="264"/>
      <c r="AQ15" s="260" t="s">
        <v>140</v>
      </c>
      <c r="AR15" s="262" t="s">
        <v>758</v>
      </c>
      <c r="AS15" s="262"/>
      <c r="AT15" s="262"/>
      <c r="AU15" s="262"/>
      <c r="AV15" s="262"/>
      <c r="AW15" s="262"/>
      <c r="AX15" s="262"/>
      <c r="AY15" s="262"/>
      <c r="AZ15" s="262" t="s">
        <v>175</v>
      </c>
      <c r="BA15" s="260"/>
      <c r="BB15" s="262">
        <v>0</v>
      </c>
      <c r="BC15" s="262">
        <v>0</v>
      </c>
      <c r="BD15" s="262">
        <v>0</v>
      </c>
      <c r="BE15" s="262">
        <v>0</v>
      </c>
      <c r="BF15" s="262">
        <v>0</v>
      </c>
      <c r="BG15" s="262">
        <v>0</v>
      </c>
      <c r="BH15" s="262">
        <v>0</v>
      </c>
      <c r="BI15" s="262">
        <v>0</v>
      </c>
      <c r="BJ15" s="262">
        <v>0</v>
      </c>
      <c r="BK15" s="262">
        <v>0</v>
      </c>
      <c r="BL15" s="262"/>
      <c r="BM15" s="262"/>
      <c r="BN15" s="262"/>
      <c r="BO15" s="262" t="s">
        <v>758</v>
      </c>
      <c r="BP15" s="375">
        <v>163.63636363636363</v>
      </c>
      <c r="BQ15" s="262"/>
      <c r="BR15" s="262"/>
      <c r="BS15" s="266"/>
      <c r="BT15" s="266"/>
      <c r="BU15" s="262"/>
      <c r="BV15" s="262" t="s">
        <v>758</v>
      </c>
      <c r="BW15" s="262">
        <v>1</v>
      </c>
      <c r="BX15" s="260"/>
      <c r="BY15" s="374" t="s">
        <v>883</v>
      </c>
    </row>
    <row r="16" spans="1:77" x14ac:dyDescent="0.15">
      <c r="A16" s="260">
        <v>282</v>
      </c>
      <c r="B16" s="368">
        <v>43383</v>
      </c>
      <c r="C16" s="261" t="s">
        <v>755</v>
      </c>
      <c r="D16" s="260" t="s">
        <v>454</v>
      </c>
      <c r="E16" s="260"/>
      <c r="F16" s="260" t="s">
        <v>756</v>
      </c>
      <c r="G16" s="267">
        <v>43281</v>
      </c>
      <c r="H16" s="262" t="s">
        <v>175</v>
      </c>
      <c r="I16" s="262" t="s">
        <v>174</v>
      </c>
      <c r="J16" s="262">
        <v>15</v>
      </c>
      <c r="K16" s="260" t="s">
        <v>802</v>
      </c>
      <c r="L16" s="260" t="s">
        <v>884</v>
      </c>
      <c r="M16" s="369">
        <v>136.63636363636363</v>
      </c>
      <c r="N16" s="369">
        <v>36.272727272727266</v>
      </c>
      <c r="O16" s="260"/>
      <c r="P16" s="263"/>
      <c r="Q16" s="264"/>
      <c r="R16" s="263"/>
      <c r="S16" s="264"/>
      <c r="T16" s="263"/>
      <c r="U16" s="260"/>
      <c r="V16" s="264"/>
      <c r="W16" s="264"/>
      <c r="X16" s="260"/>
      <c r="Y16" s="260"/>
      <c r="Z16" s="260"/>
      <c r="AA16" s="260"/>
      <c r="AB16" s="260"/>
      <c r="AC16" s="260"/>
      <c r="AD16" s="260"/>
      <c r="AE16" s="264"/>
      <c r="AF16" s="264"/>
      <c r="AG16" s="263"/>
      <c r="AH16" s="260"/>
      <c r="AI16" s="264"/>
      <c r="AJ16" s="260"/>
      <c r="AK16" s="260"/>
      <c r="AL16" s="260"/>
      <c r="AM16" s="260"/>
      <c r="AN16" s="264"/>
      <c r="AO16" s="265"/>
      <c r="AP16" s="264"/>
      <c r="AQ16" s="260" t="s">
        <v>761</v>
      </c>
      <c r="AR16" s="262" t="s">
        <v>758</v>
      </c>
      <c r="AS16" s="262"/>
      <c r="AT16" s="262"/>
      <c r="AU16" s="262"/>
      <c r="AV16" s="262">
        <v>7</v>
      </c>
      <c r="AW16" s="262"/>
      <c r="AX16" s="262"/>
      <c r="AY16" s="262"/>
      <c r="AZ16" s="262" t="s">
        <v>758</v>
      </c>
      <c r="BA16" s="260"/>
      <c r="BB16" s="262">
        <v>0</v>
      </c>
      <c r="BC16" s="262">
        <v>0</v>
      </c>
      <c r="BD16" s="262">
        <v>0</v>
      </c>
      <c r="BE16" s="262">
        <v>0</v>
      </c>
      <c r="BF16" s="262">
        <v>0</v>
      </c>
      <c r="BG16" s="262">
        <v>0</v>
      </c>
      <c r="BH16" s="262">
        <v>0</v>
      </c>
      <c r="BI16" s="262">
        <v>0</v>
      </c>
      <c r="BJ16" s="262">
        <v>0</v>
      </c>
      <c r="BK16" s="262">
        <v>0</v>
      </c>
      <c r="BL16" s="262"/>
      <c r="BM16" s="262"/>
      <c r="BN16" s="262"/>
      <c r="BO16" s="262" t="s">
        <v>758</v>
      </c>
      <c r="BP16" s="371"/>
      <c r="BQ16" s="262"/>
      <c r="BR16" s="262"/>
      <c r="BS16" s="260"/>
      <c r="BT16" s="260"/>
      <c r="BU16" s="262"/>
      <c r="BV16" s="262" t="s">
        <v>758</v>
      </c>
      <c r="BW16" s="262">
        <v>1</v>
      </c>
      <c r="BX16" s="260"/>
      <c r="BY16" s="260" t="s">
        <v>885</v>
      </c>
    </row>
    <row r="17" spans="1:77" x14ac:dyDescent="0.15">
      <c r="A17" s="260">
        <v>1914</v>
      </c>
      <c r="B17" s="368">
        <v>43383</v>
      </c>
      <c r="C17" s="261" t="s">
        <v>755</v>
      </c>
      <c r="D17" s="260" t="s">
        <v>454</v>
      </c>
      <c r="E17" s="260"/>
      <c r="F17" s="260" t="s">
        <v>808</v>
      </c>
      <c r="G17" s="270">
        <v>43284</v>
      </c>
      <c r="H17" s="262" t="s">
        <v>757</v>
      </c>
      <c r="I17" s="262" t="s">
        <v>758</v>
      </c>
      <c r="J17" s="262">
        <v>1</v>
      </c>
      <c r="K17" s="260" t="s">
        <v>759</v>
      </c>
      <c r="L17" s="260" t="s">
        <v>855</v>
      </c>
      <c r="M17" s="369">
        <v>99.463636363636354</v>
      </c>
      <c r="N17" s="369">
        <v>34.318181818181813</v>
      </c>
      <c r="O17" s="260"/>
      <c r="P17" s="263"/>
      <c r="Q17" s="264"/>
      <c r="R17" s="263"/>
      <c r="S17" s="264"/>
      <c r="T17" s="263"/>
      <c r="U17" s="260"/>
      <c r="V17" s="264"/>
      <c r="W17" s="264"/>
      <c r="X17" s="260"/>
      <c r="Y17" s="260"/>
      <c r="Z17" s="260"/>
      <c r="AA17" s="260"/>
      <c r="AB17" s="263"/>
      <c r="AC17" s="260"/>
      <c r="AD17" s="260"/>
      <c r="AE17" s="264"/>
      <c r="AF17" s="369">
        <v>16.8</v>
      </c>
      <c r="AG17" s="263"/>
      <c r="AH17" s="260"/>
      <c r="AI17" s="264"/>
      <c r="AJ17" s="260"/>
      <c r="AK17" s="260"/>
      <c r="AL17" s="260"/>
      <c r="AM17" s="260"/>
      <c r="AN17" s="264"/>
      <c r="AO17" s="265"/>
      <c r="AP17" s="264"/>
      <c r="AQ17" s="370" t="s">
        <v>809</v>
      </c>
      <c r="AR17" s="262" t="s">
        <v>174</v>
      </c>
      <c r="AS17" s="262"/>
      <c r="AT17" s="262"/>
      <c r="AU17" s="262"/>
      <c r="AV17" s="262">
        <v>5</v>
      </c>
      <c r="AW17" s="262"/>
      <c r="AX17" s="262"/>
      <c r="AY17" s="262"/>
      <c r="AZ17" s="262" t="s">
        <v>762</v>
      </c>
      <c r="BA17" s="260"/>
      <c r="BB17" s="262">
        <v>0</v>
      </c>
      <c r="BC17" s="262">
        <v>0</v>
      </c>
      <c r="BD17" s="262">
        <v>0</v>
      </c>
      <c r="BE17" s="262">
        <v>0</v>
      </c>
      <c r="BF17" s="262">
        <v>0</v>
      </c>
      <c r="BG17" s="262">
        <v>0</v>
      </c>
      <c r="BH17" s="262">
        <v>0</v>
      </c>
      <c r="BI17" s="262">
        <v>0</v>
      </c>
      <c r="BJ17" s="262">
        <v>0</v>
      </c>
      <c r="BK17" s="262">
        <v>0</v>
      </c>
      <c r="BL17" s="262">
        <v>12</v>
      </c>
      <c r="BM17" s="262"/>
      <c r="BN17" s="262">
        <v>12</v>
      </c>
      <c r="BO17" s="262" t="s">
        <v>758</v>
      </c>
      <c r="BP17" s="371"/>
      <c r="BQ17" s="262"/>
      <c r="BR17" s="262"/>
      <c r="BS17" s="260"/>
      <c r="BT17" s="260"/>
      <c r="BU17" s="262"/>
      <c r="BV17" s="262" t="s">
        <v>758</v>
      </c>
      <c r="BW17" s="262"/>
      <c r="BX17" s="260" t="s">
        <v>763</v>
      </c>
      <c r="BY17" s="266" t="s">
        <v>886</v>
      </c>
    </row>
    <row r="18" spans="1:77" x14ac:dyDescent="0.15">
      <c r="A18" s="260">
        <v>167</v>
      </c>
      <c r="B18" s="368">
        <v>43383</v>
      </c>
      <c r="C18" s="261" t="s">
        <v>755</v>
      </c>
      <c r="D18" s="260" t="s">
        <v>454</v>
      </c>
      <c r="E18" s="260"/>
      <c r="F18" s="260" t="s">
        <v>808</v>
      </c>
      <c r="G18" s="267">
        <v>43343</v>
      </c>
      <c r="H18" s="262" t="s">
        <v>175</v>
      </c>
      <c r="I18" s="262" t="s">
        <v>174</v>
      </c>
      <c r="J18" s="262">
        <v>2</v>
      </c>
      <c r="K18" s="260" t="s">
        <v>765</v>
      </c>
      <c r="L18" s="260" t="s">
        <v>766</v>
      </c>
      <c r="M18" s="369">
        <v>93.018181818181802</v>
      </c>
      <c r="N18" s="369">
        <v>34.136363636363633</v>
      </c>
      <c r="O18" s="260"/>
      <c r="P18" s="263"/>
      <c r="Q18" s="264"/>
      <c r="R18" s="263"/>
      <c r="S18" s="264"/>
      <c r="T18" s="263"/>
      <c r="U18" s="260"/>
      <c r="V18" s="264"/>
      <c r="W18" s="264"/>
      <c r="X18" s="260"/>
      <c r="Y18" s="260"/>
      <c r="Z18" s="260"/>
      <c r="AA18" s="260"/>
      <c r="AB18" s="260"/>
      <c r="AC18" s="260"/>
      <c r="AD18" s="260"/>
      <c r="AE18" s="264"/>
      <c r="AF18" s="369">
        <v>16.727272727272723</v>
      </c>
      <c r="AG18" s="263"/>
      <c r="AH18" s="260"/>
      <c r="AI18" s="264"/>
      <c r="AJ18" s="260"/>
      <c r="AK18" s="260"/>
      <c r="AL18" s="260"/>
      <c r="AM18" s="260"/>
      <c r="AN18" s="264"/>
      <c r="AO18" s="265"/>
      <c r="AP18" s="264"/>
      <c r="AQ18" s="260" t="s">
        <v>809</v>
      </c>
      <c r="AR18" s="262" t="s">
        <v>758</v>
      </c>
      <c r="AS18" s="262"/>
      <c r="AT18" s="262"/>
      <c r="AU18" s="262"/>
      <c r="AV18" s="262">
        <v>8</v>
      </c>
      <c r="AW18" s="262"/>
      <c r="AX18" s="262"/>
      <c r="AY18" s="262"/>
      <c r="AZ18" s="262" t="s">
        <v>758</v>
      </c>
      <c r="BA18" s="260"/>
      <c r="BB18" s="262">
        <v>0</v>
      </c>
      <c r="BC18" s="262">
        <v>0</v>
      </c>
      <c r="BD18" s="262">
        <v>0</v>
      </c>
      <c r="BE18" s="262">
        <v>0</v>
      </c>
      <c r="BF18" s="262">
        <v>0</v>
      </c>
      <c r="BG18" s="262">
        <v>0</v>
      </c>
      <c r="BH18" s="262">
        <v>0</v>
      </c>
      <c r="BI18" s="262">
        <v>0</v>
      </c>
      <c r="BJ18" s="262">
        <v>0</v>
      </c>
      <c r="BK18" s="262">
        <v>0</v>
      </c>
      <c r="BL18" s="262"/>
      <c r="BM18" s="262"/>
      <c r="BN18" s="262"/>
      <c r="BO18" s="262" t="s">
        <v>758</v>
      </c>
      <c r="BP18" s="371"/>
      <c r="BQ18" s="262"/>
      <c r="BR18" s="262"/>
      <c r="BS18" s="260"/>
      <c r="BT18" s="260"/>
      <c r="BU18" s="262"/>
      <c r="BV18" s="262" t="s">
        <v>758</v>
      </c>
      <c r="BW18" s="262">
        <v>1</v>
      </c>
      <c r="BX18" s="260"/>
      <c r="BY18" s="260" t="s">
        <v>887</v>
      </c>
    </row>
    <row r="19" spans="1:77" x14ac:dyDescent="0.15">
      <c r="A19" s="260">
        <v>431</v>
      </c>
      <c r="B19" s="368">
        <v>43383</v>
      </c>
      <c r="C19" s="261" t="s">
        <v>315</v>
      </c>
      <c r="D19" s="260" t="s">
        <v>454</v>
      </c>
      <c r="E19" s="260"/>
      <c r="F19" s="260" t="s">
        <v>394</v>
      </c>
      <c r="G19" s="270">
        <v>43281</v>
      </c>
      <c r="H19" s="262" t="s">
        <v>334</v>
      </c>
      <c r="I19" s="262" t="s">
        <v>318</v>
      </c>
      <c r="J19" s="262">
        <v>3</v>
      </c>
      <c r="K19" s="260" t="s">
        <v>341</v>
      </c>
      <c r="L19" s="260" t="s">
        <v>858</v>
      </c>
      <c r="M19" s="369">
        <v>92.999999999999986</v>
      </c>
      <c r="N19" s="369">
        <v>36.154545454545456</v>
      </c>
      <c r="O19" s="260" t="s">
        <v>518</v>
      </c>
      <c r="P19" s="263">
        <v>1000</v>
      </c>
      <c r="Q19" s="369">
        <v>38.999999999999993</v>
      </c>
      <c r="R19" s="263"/>
      <c r="S19" s="369"/>
      <c r="T19" s="263"/>
      <c r="U19" s="260"/>
      <c r="V19" s="264"/>
      <c r="W19" s="264"/>
      <c r="X19" s="260"/>
      <c r="Y19" s="260"/>
      <c r="Z19" s="260"/>
      <c r="AA19" s="260"/>
      <c r="AB19" s="260"/>
      <c r="AC19" s="260"/>
      <c r="AD19" s="260"/>
      <c r="AE19" s="264"/>
      <c r="AF19" s="369">
        <v>17.536363636363635</v>
      </c>
      <c r="AG19" s="263"/>
      <c r="AH19" s="260"/>
      <c r="AI19" s="264"/>
      <c r="AJ19" s="260"/>
      <c r="AK19" s="260"/>
      <c r="AL19" s="260"/>
      <c r="AM19" s="260"/>
      <c r="AN19" s="264"/>
      <c r="AO19" s="265"/>
      <c r="AP19" s="264"/>
      <c r="AQ19" s="370" t="s">
        <v>396</v>
      </c>
      <c r="AR19" s="262" t="s">
        <v>318</v>
      </c>
      <c r="AS19" s="262"/>
      <c r="AT19" s="262"/>
      <c r="AU19" s="262"/>
      <c r="AV19" s="262">
        <v>5.2</v>
      </c>
      <c r="AW19" s="262"/>
      <c r="AX19" s="262"/>
      <c r="AY19" s="262"/>
      <c r="AZ19" s="262" t="s">
        <v>323</v>
      </c>
      <c r="BA19" s="260"/>
      <c r="BB19" s="262">
        <v>0</v>
      </c>
      <c r="BC19" s="262">
        <v>0</v>
      </c>
      <c r="BD19" s="262">
        <v>2</v>
      </c>
      <c r="BE19" s="262">
        <v>0</v>
      </c>
      <c r="BF19" s="262">
        <v>0</v>
      </c>
      <c r="BG19" s="262">
        <v>0</v>
      </c>
      <c r="BH19" s="262">
        <v>0</v>
      </c>
      <c r="BI19" s="262">
        <v>0</v>
      </c>
      <c r="BJ19" s="262">
        <v>0</v>
      </c>
      <c r="BK19" s="262">
        <v>0</v>
      </c>
      <c r="BL19" s="262"/>
      <c r="BM19" s="262"/>
      <c r="BN19" s="262"/>
      <c r="BO19" s="262" t="s">
        <v>318</v>
      </c>
      <c r="BP19" s="371"/>
      <c r="BQ19" s="262"/>
      <c r="BR19" s="262"/>
      <c r="BS19" s="260"/>
      <c r="BT19" s="260"/>
      <c r="BU19" s="262"/>
      <c r="BV19" s="262" t="s">
        <v>318</v>
      </c>
      <c r="BW19" s="262"/>
      <c r="BX19" s="260"/>
      <c r="BY19" s="370" t="s">
        <v>644</v>
      </c>
    </row>
    <row r="20" spans="1:77" x14ac:dyDescent="0.15">
      <c r="A20" s="260">
        <v>752</v>
      </c>
      <c r="B20" s="368">
        <v>43383</v>
      </c>
      <c r="C20" s="261" t="s">
        <v>453</v>
      </c>
      <c r="D20" s="260" t="s">
        <v>454</v>
      </c>
      <c r="E20" s="260"/>
      <c r="F20" s="260" t="s">
        <v>505</v>
      </c>
      <c r="G20" s="270">
        <v>43356</v>
      </c>
      <c r="H20" s="262" t="s">
        <v>456</v>
      </c>
      <c r="I20" s="262" t="s">
        <v>457</v>
      </c>
      <c r="J20" s="262">
        <v>4</v>
      </c>
      <c r="K20" s="260" t="s">
        <v>476</v>
      </c>
      <c r="L20" s="260" t="s">
        <v>859</v>
      </c>
      <c r="M20" s="369">
        <v>104.5</v>
      </c>
      <c r="N20" s="369">
        <v>37.445454545454538</v>
      </c>
      <c r="O20" s="260"/>
      <c r="P20" s="263"/>
      <c r="Q20" s="264"/>
      <c r="R20" s="263"/>
      <c r="S20" s="264"/>
      <c r="T20" s="263"/>
      <c r="U20" s="260"/>
      <c r="V20" s="264"/>
      <c r="W20" s="264"/>
      <c r="X20" s="263"/>
      <c r="Y20" s="260"/>
      <c r="Z20" s="263"/>
      <c r="AA20" s="260"/>
      <c r="AB20" s="263"/>
      <c r="AC20" s="260"/>
      <c r="AD20" s="260"/>
      <c r="AE20" s="264"/>
      <c r="AF20" s="369">
        <v>18.18181818181818</v>
      </c>
      <c r="AG20" s="263"/>
      <c r="AH20" s="260"/>
      <c r="AI20" s="264"/>
      <c r="AJ20" s="260"/>
      <c r="AK20" s="260"/>
      <c r="AL20" s="260"/>
      <c r="AM20" s="260"/>
      <c r="AN20" s="264"/>
      <c r="AO20" s="265"/>
      <c r="AP20" s="264"/>
      <c r="AQ20" s="370" t="s">
        <v>506</v>
      </c>
      <c r="AR20" s="262" t="s">
        <v>457</v>
      </c>
      <c r="AS20" s="262"/>
      <c r="AT20" s="262"/>
      <c r="AU20" s="262"/>
      <c r="AV20" s="262">
        <v>9.35</v>
      </c>
      <c r="AW20" s="262"/>
      <c r="AX20" s="262"/>
      <c r="AY20" s="262"/>
      <c r="AZ20" s="262" t="s">
        <v>462</v>
      </c>
      <c r="BA20" s="260"/>
      <c r="BB20" s="262">
        <v>2</v>
      </c>
      <c r="BC20" s="262">
        <v>0</v>
      </c>
      <c r="BD20" s="262">
        <v>0</v>
      </c>
      <c r="BE20" s="262">
        <v>0</v>
      </c>
      <c r="BF20" s="262">
        <v>0</v>
      </c>
      <c r="BG20" s="262">
        <v>0</v>
      </c>
      <c r="BH20" s="262">
        <v>0</v>
      </c>
      <c r="BI20" s="262">
        <v>0</v>
      </c>
      <c r="BJ20" s="262">
        <v>0</v>
      </c>
      <c r="BK20" s="262">
        <v>0</v>
      </c>
      <c r="BL20" s="262"/>
      <c r="BM20" s="262"/>
      <c r="BN20" s="262">
        <v>24</v>
      </c>
      <c r="BO20" s="262" t="s">
        <v>457</v>
      </c>
      <c r="BP20" s="371"/>
      <c r="BQ20" s="262"/>
      <c r="BR20" s="262"/>
      <c r="BS20" s="260"/>
      <c r="BT20" s="260"/>
      <c r="BU20" s="262"/>
      <c r="BV20" s="262" t="s">
        <v>457</v>
      </c>
      <c r="BW20" s="262">
        <v>1</v>
      </c>
      <c r="BX20" s="260"/>
      <c r="BY20" s="370" t="s">
        <v>76</v>
      </c>
    </row>
    <row r="21" spans="1:77" x14ac:dyDescent="0.15">
      <c r="A21" s="260">
        <v>976</v>
      </c>
      <c r="B21" s="368">
        <v>43383</v>
      </c>
      <c r="C21" s="261" t="s">
        <v>861</v>
      </c>
      <c r="D21" s="260" t="s">
        <v>454</v>
      </c>
      <c r="E21" s="260"/>
      <c r="F21" s="260" t="s">
        <v>888</v>
      </c>
      <c r="G21" s="270">
        <v>43302</v>
      </c>
      <c r="H21" s="262" t="s">
        <v>863</v>
      </c>
      <c r="I21" s="262" t="s">
        <v>864</v>
      </c>
      <c r="J21" s="262">
        <v>5</v>
      </c>
      <c r="K21" s="260" t="s">
        <v>302</v>
      </c>
      <c r="L21" s="260" t="s">
        <v>521</v>
      </c>
      <c r="M21" s="369">
        <v>130</v>
      </c>
      <c r="N21" s="369">
        <v>36.354545454545452</v>
      </c>
      <c r="O21" s="260"/>
      <c r="P21" s="263"/>
      <c r="Q21" s="264"/>
      <c r="R21" s="263"/>
      <c r="S21" s="264"/>
      <c r="T21" s="263"/>
      <c r="U21" s="260"/>
      <c r="V21" s="264"/>
      <c r="W21" s="264"/>
      <c r="X21" s="263"/>
      <c r="Y21" s="260"/>
      <c r="Z21" s="263"/>
      <c r="AA21" s="260"/>
      <c r="AB21" s="263"/>
      <c r="AC21" s="260"/>
      <c r="AD21" s="260"/>
      <c r="AE21" s="264"/>
      <c r="AF21" s="369">
        <v>18</v>
      </c>
      <c r="AG21" s="263"/>
      <c r="AH21" s="260"/>
      <c r="AI21" s="264"/>
      <c r="AJ21" s="260"/>
      <c r="AK21" s="260"/>
      <c r="AL21" s="260"/>
      <c r="AM21" s="260"/>
      <c r="AN21" s="264"/>
      <c r="AO21" s="265"/>
      <c r="AP21" s="264"/>
      <c r="AQ21" s="260" t="s">
        <v>889</v>
      </c>
      <c r="AR21" s="262" t="s">
        <v>864</v>
      </c>
      <c r="AS21" s="262"/>
      <c r="AT21" s="262"/>
      <c r="AU21" s="262"/>
      <c r="AV21" s="262">
        <v>3</v>
      </c>
      <c r="AW21" s="262"/>
      <c r="AX21" s="262"/>
      <c r="AY21" s="262"/>
      <c r="AZ21" s="262" t="s">
        <v>361</v>
      </c>
      <c r="BA21" s="260"/>
      <c r="BB21" s="262">
        <v>0</v>
      </c>
      <c r="BC21" s="262">
        <v>0</v>
      </c>
      <c r="BD21" s="262">
        <v>0</v>
      </c>
      <c r="BE21" s="262">
        <v>0</v>
      </c>
      <c r="BF21" s="262">
        <v>0</v>
      </c>
      <c r="BG21" s="262">
        <v>0</v>
      </c>
      <c r="BH21" s="262">
        <v>0</v>
      </c>
      <c r="BI21" s="262">
        <v>0</v>
      </c>
      <c r="BJ21" s="262">
        <v>0</v>
      </c>
      <c r="BK21" s="262">
        <v>0</v>
      </c>
      <c r="BL21" s="262"/>
      <c r="BM21" s="262"/>
      <c r="BN21" s="262"/>
      <c r="BO21" s="262" t="s">
        <v>864</v>
      </c>
      <c r="BP21" s="371"/>
      <c r="BQ21" s="262"/>
      <c r="BR21" s="262"/>
      <c r="BS21" s="260"/>
      <c r="BT21" s="260"/>
      <c r="BU21" s="262"/>
      <c r="BV21" s="262" t="s">
        <v>864</v>
      </c>
      <c r="BW21" s="262"/>
      <c r="BX21" s="260"/>
      <c r="BY21" s="260" t="s">
        <v>76</v>
      </c>
    </row>
    <row r="22" spans="1:77" x14ac:dyDescent="0.15">
      <c r="A22" s="260">
        <v>1379</v>
      </c>
      <c r="B22" s="368">
        <v>43383</v>
      </c>
      <c r="C22" s="261" t="s">
        <v>755</v>
      </c>
      <c r="D22" s="260" t="s">
        <v>454</v>
      </c>
      <c r="E22" s="260"/>
      <c r="F22" s="260" t="s">
        <v>808</v>
      </c>
      <c r="G22" s="270">
        <v>43305</v>
      </c>
      <c r="H22" s="262" t="s">
        <v>757</v>
      </c>
      <c r="I22" s="262" t="s">
        <v>758</v>
      </c>
      <c r="J22" s="262">
        <v>6</v>
      </c>
      <c r="K22" s="260" t="s">
        <v>773</v>
      </c>
      <c r="L22" s="260" t="s">
        <v>774</v>
      </c>
      <c r="M22" s="369">
        <v>86.454545454545439</v>
      </c>
      <c r="N22" s="369">
        <v>34.381818181818183</v>
      </c>
      <c r="O22" s="260"/>
      <c r="P22" s="260"/>
      <c r="Q22" s="263"/>
      <c r="R22" s="260"/>
      <c r="S22" s="264"/>
      <c r="T22" s="263"/>
      <c r="U22" s="260"/>
      <c r="V22" s="264"/>
      <c r="W22" s="264"/>
      <c r="X22" s="260"/>
      <c r="Y22" s="260"/>
      <c r="Z22" s="263"/>
      <c r="AA22" s="260"/>
      <c r="AB22" s="263"/>
      <c r="AC22" s="260"/>
      <c r="AD22" s="260"/>
      <c r="AE22" s="264"/>
      <c r="AF22" s="369">
        <v>16.281818181818181</v>
      </c>
      <c r="AG22" s="260"/>
      <c r="AH22" s="260"/>
      <c r="AI22" s="264"/>
      <c r="AJ22" s="260"/>
      <c r="AK22" s="260"/>
      <c r="AL22" s="260"/>
      <c r="AM22" s="260"/>
      <c r="AN22" s="260"/>
      <c r="AO22" s="265"/>
      <c r="AP22" s="264"/>
      <c r="AQ22" s="260" t="s">
        <v>809</v>
      </c>
      <c r="AR22" s="262" t="s">
        <v>758</v>
      </c>
      <c r="AS22" s="262"/>
      <c r="AT22" s="262"/>
      <c r="AU22" s="262"/>
      <c r="AV22" s="262">
        <v>5</v>
      </c>
      <c r="AW22" s="262"/>
      <c r="AX22" s="262"/>
      <c r="AY22" s="262"/>
      <c r="AZ22" s="262" t="s">
        <v>762</v>
      </c>
      <c r="BA22" s="260"/>
      <c r="BB22" s="262">
        <v>0</v>
      </c>
      <c r="BC22" s="262">
        <v>0</v>
      </c>
      <c r="BD22" s="262">
        <v>0</v>
      </c>
      <c r="BE22" s="262">
        <v>0</v>
      </c>
      <c r="BF22" s="262">
        <v>0</v>
      </c>
      <c r="BG22" s="262">
        <v>0</v>
      </c>
      <c r="BH22" s="262">
        <v>0</v>
      </c>
      <c r="BI22" s="262">
        <v>0</v>
      </c>
      <c r="BJ22" s="262">
        <v>0</v>
      </c>
      <c r="BK22" s="262">
        <v>0</v>
      </c>
      <c r="BL22" s="262"/>
      <c r="BM22" s="262"/>
      <c r="BN22" s="262">
        <v>12</v>
      </c>
      <c r="BO22" s="262" t="s">
        <v>758</v>
      </c>
      <c r="BP22" s="371"/>
      <c r="BQ22" s="262"/>
      <c r="BR22" s="262"/>
      <c r="BS22" s="260"/>
      <c r="BT22" s="260"/>
      <c r="BU22" s="262"/>
      <c r="BV22" s="262" t="s">
        <v>758</v>
      </c>
      <c r="BW22" s="262"/>
      <c r="BX22" s="260"/>
      <c r="BY22" s="372" t="s">
        <v>890</v>
      </c>
    </row>
    <row r="23" spans="1:77" x14ac:dyDescent="0.15">
      <c r="A23" s="260">
        <v>1713</v>
      </c>
      <c r="B23" s="368">
        <v>43383</v>
      </c>
      <c r="C23" s="261" t="s">
        <v>861</v>
      </c>
      <c r="D23" s="260" t="s">
        <v>454</v>
      </c>
      <c r="E23" s="260"/>
      <c r="F23" s="260" t="s">
        <v>888</v>
      </c>
      <c r="G23" s="270">
        <v>43302</v>
      </c>
      <c r="H23" s="262" t="s">
        <v>863</v>
      </c>
      <c r="I23" s="262" t="s">
        <v>864</v>
      </c>
      <c r="J23" s="262">
        <v>7</v>
      </c>
      <c r="K23" s="260" t="s">
        <v>868</v>
      </c>
      <c r="L23" s="260" t="s">
        <v>525</v>
      </c>
      <c r="M23" s="369">
        <v>130</v>
      </c>
      <c r="N23" s="369">
        <v>36.354545454545452</v>
      </c>
      <c r="O23" s="260"/>
      <c r="P23" s="263"/>
      <c r="Q23" s="264"/>
      <c r="R23" s="263"/>
      <c r="S23" s="264"/>
      <c r="T23" s="260"/>
      <c r="U23" s="260"/>
      <c r="V23" s="264"/>
      <c r="W23" s="264"/>
      <c r="X23" s="260"/>
      <c r="Y23" s="260"/>
      <c r="Z23" s="260"/>
      <c r="AA23" s="260"/>
      <c r="AB23" s="260"/>
      <c r="AC23" s="260"/>
      <c r="AD23" s="260"/>
      <c r="AE23" s="264"/>
      <c r="AF23" s="369">
        <v>18</v>
      </c>
      <c r="AG23" s="263"/>
      <c r="AH23" s="260"/>
      <c r="AI23" s="264"/>
      <c r="AJ23" s="260"/>
      <c r="AK23" s="260"/>
      <c r="AL23" s="260"/>
      <c r="AM23" s="260"/>
      <c r="AN23" s="264"/>
      <c r="AO23" s="265"/>
      <c r="AP23" s="264"/>
      <c r="AQ23" s="260" t="s">
        <v>889</v>
      </c>
      <c r="AR23" s="262" t="s">
        <v>864</v>
      </c>
      <c r="AS23" s="262"/>
      <c r="AT23" s="262"/>
      <c r="AU23" s="262"/>
      <c r="AV23" s="262">
        <v>3</v>
      </c>
      <c r="AW23" s="262"/>
      <c r="AX23" s="262"/>
      <c r="AY23" s="262"/>
      <c r="AZ23" s="262" t="s">
        <v>869</v>
      </c>
      <c r="BA23" s="260"/>
      <c r="BB23" s="262">
        <v>0</v>
      </c>
      <c r="BC23" s="262">
        <v>0</v>
      </c>
      <c r="BD23" s="262">
        <v>0</v>
      </c>
      <c r="BE23" s="262">
        <v>0</v>
      </c>
      <c r="BF23" s="262">
        <v>0</v>
      </c>
      <c r="BG23" s="262">
        <v>0</v>
      </c>
      <c r="BH23" s="262">
        <v>0</v>
      </c>
      <c r="BI23" s="262">
        <v>0</v>
      </c>
      <c r="BJ23" s="262">
        <v>0</v>
      </c>
      <c r="BK23" s="262">
        <v>0</v>
      </c>
      <c r="BL23" s="262"/>
      <c r="BM23" s="262"/>
      <c r="BN23" s="262"/>
      <c r="BO23" s="262" t="s">
        <v>864</v>
      </c>
      <c r="BP23" s="371"/>
      <c r="BQ23" s="262"/>
      <c r="BR23" s="373"/>
      <c r="BS23" s="260"/>
      <c r="BT23" s="260"/>
      <c r="BU23" s="262"/>
      <c r="BV23" s="262" t="s">
        <v>864</v>
      </c>
      <c r="BW23" s="262"/>
      <c r="BX23" s="260"/>
      <c r="BY23" s="260" t="s">
        <v>891</v>
      </c>
    </row>
    <row r="24" spans="1:77" x14ac:dyDescent="0.15">
      <c r="A24" s="260">
        <v>2035</v>
      </c>
      <c r="B24" s="368">
        <v>43383</v>
      </c>
      <c r="C24" s="261" t="s">
        <v>861</v>
      </c>
      <c r="D24" s="260" t="s">
        <v>454</v>
      </c>
      <c r="E24" s="260"/>
      <c r="F24" s="260" t="s">
        <v>888</v>
      </c>
      <c r="G24" s="270">
        <v>43281</v>
      </c>
      <c r="H24" s="262" t="s">
        <v>863</v>
      </c>
      <c r="I24" s="262" t="s">
        <v>864</v>
      </c>
      <c r="J24" s="262">
        <v>8</v>
      </c>
      <c r="K24" s="260" t="s">
        <v>254</v>
      </c>
      <c r="L24" s="260" t="s">
        <v>871</v>
      </c>
      <c r="M24" s="369">
        <v>102.49999999999999</v>
      </c>
      <c r="N24" s="369">
        <v>37.518181818181816</v>
      </c>
      <c r="O24" s="260" t="s">
        <v>518</v>
      </c>
      <c r="P24" s="263">
        <v>3822</v>
      </c>
      <c r="Q24" s="369">
        <v>39.018181818181816</v>
      </c>
      <c r="R24" s="263"/>
      <c r="S24" s="369"/>
      <c r="T24" s="260"/>
      <c r="U24" s="260"/>
      <c r="V24" s="264"/>
      <c r="W24" s="264"/>
      <c r="X24" s="260"/>
      <c r="Y24" s="260"/>
      <c r="Z24" s="260"/>
      <c r="AA24" s="260"/>
      <c r="AB24" s="260"/>
      <c r="AC24" s="260"/>
      <c r="AD24" s="260"/>
      <c r="AE24" s="264"/>
      <c r="AF24" s="369">
        <v>18.18181818181818</v>
      </c>
      <c r="AG24" s="263"/>
      <c r="AH24" s="260"/>
      <c r="AI24" s="264"/>
      <c r="AJ24" s="260"/>
      <c r="AK24" s="260"/>
      <c r="AL24" s="260"/>
      <c r="AM24" s="260"/>
      <c r="AN24" s="264"/>
      <c r="AO24" s="265"/>
      <c r="AP24" s="264"/>
      <c r="AQ24" s="260" t="s">
        <v>889</v>
      </c>
      <c r="AR24" s="262" t="s">
        <v>864</v>
      </c>
      <c r="AS24" s="262"/>
      <c r="AT24" s="262"/>
      <c r="AU24" s="262"/>
      <c r="AV24" s="262">
        <v>6</v>
      </c>
      <c r="AW24" s="262"/>
      <c r="AX24" s="262"/>
      <c r="AY24" s="262"/>
      <c r="AZ24" s="262" t="s">
        <v>153</v>
      </c>
      <c r="BA24" s="260"/>
      <c r="BB24" s="262">
        <v>0</v>
      </c>
      <c r="BC24" s="262">
        <v>0</v>
      </c>
      <c r="BD24" s="262">
        <v>0</v>
      </c>
      <c r="BE24" s="262">
        <v>0</v>
      </c>
      <c r="BF24" s="262">
        <v>0</v>
      </c>
      <c r="BG24" s="262">
        <v>0</v>
      </c>
      <c r="BH24" s="262">
        <v>0</v>
      </c>
      <c r="BI24" s="262">
        <v>0</v>
      </c>
      <c r="BJ24" s="262">
        <v>0</v>
      </c>
      <c r="BK24" s="262">
        <v>0</v>
      </c>
      <c r="BL24" s="262"/>
      <c r="BM24" s="262"/>
      <c r="BN24" s="262"/>
      <c r="BO24" s="262" t="s">
        <v>864</v>
      </c>
      <c r="BP24" s="371"/>
      <c r="BQ24" s="262"/>
      <c r="BR24" s="373"/>
      <c r="BS24" s="260"/>
      <c r="BT24" s="260"/>
      <c r="BU24" s="262"/>
      <c r="BV24" s="262" t="s">
        <v>864</v>
      </c>
      <c r="BW24" s="262"/>
      <c r="BX24" s="260"/>
      <c r="BY24" s="260" t="s">
        <v>892</v>
      </c>
    </row>
    <row r="25" spans="1:77" x14ac:dyDescent="0.15">
      <c r="A25" s="260">
        <v>1500</v>
      </c>
      <c r="B25" s="368">
        <v>43383</v>
      </c>
      <c r="C25" s="261" t="s">
        <v>755</v>
      </c>
      <c r="D25" s="260" t="s">
        <v>454</v>
      </c>
      <c r="E25" s="260"/>
      <c r="F25" s="260" t="s">
        <v>808</v>
      </c>
      <c r="G25" s="270">
        <v>43266</v>
      </c>
      <c r="H25" s="262" t="s">
        <v>757</v>
      </c>
      <c r="I25" s="262" t="s">
        <v>758</v>
      </c>
      <c r="J25" s="262">
        <v>9</v>
      </c>
      <c r="K25" s="260" t="s">
        <v>495</v>
      </c>
      <c r="L25" s="260" t="s">
        <v>873</v>
      </c>
      <c r="M25" s="369">
        <v>138.6181818181818</v>
      </c>
      <c r="N25" s="369">
        <v>37.25454545454545</v>
      </c>
      <c r="O25" s="260"/>
      <c r="P25" s="263"/>
      <c r="Q25" s="264"/>
      <c r="R25" s="263"/>
      <c r="S25" s="264"/>
      <c r="T25" s="260"/>
      <c r="U25" s="260"/>
      <c r="V25" s="264"/>
      <c r="W25" s="264"/>
      <c r="X25" s="260"/>
      <c r="Y25" s="260"/>
      <c r="Z25" s="260"/>
      <c r="AA25" s="260"/>
      <c r="AB25" s="260"/>
      <c r="AC25" s="260"/>
      <c r="AD25" s="260"/>
      <c r="AE25" s="264"/>
      <c r="AF25" s="369">
        <v>18.454545454545453</v>
      </c>
      <c r="AG25" s="263"/>
      <c r="AH25" s="260"/>
      <c r="AI25" s="264"/>
      <c r="AJ25" s="260"/>
      <c r="AK25" s="260"/>
      <c r="AL25" s="260"/>
      <c r="AM25" s="260"/>
      <c r="AN25" s="264"/>
      <c r="AO25" s="265"/>
      <c r="AP25" s="264"/>
      <c r="AQ25" s="370" t="s">
        <v>809</v>
      </c>
      <c r="AR25" s="262" t="s">
        <v>758</v>
      </c>
      <c r="AS25" s="262"/>
      <c r="AT25" s="262"/>
      <c r="AU25" s="262"/>
      <c r="AV25" s="262">
        <v>3</v>
      </c>
      <c r="AW25" s="262"/>
      <c r="AX25" s="262"/>
      <c r="AY25" s="262"/>
      <c r="AZ25" s="262" t="s">
        <v>762</v>
      </c>
      <c r="BA25" s="260"/>
      <c r="BB25" s="262">
        <v>0</v>
      </c>
      <c r="BC25" s="262">
        <v>0</v>
      </c>
      <c r="BD25" s="262">
        <v>0</v>
      </c>
      <c r="BE25" s="262">
        <v>0</v>
      </c>
      <c r="BF25" s="262">
        <v>0</v>
      </c>
      <c r="BG25" s="262">
        <v>0</v>
      </c>
      <c r="BH25" s="262">
        <v>0</v>
      </c>
      <c r="BI25" s="262">
        <v>0</v>
      </c>
      <c r="BJ25" s="262">
        <v>0</v>
      </c>
      <c r="BK25" s="262">
        <v>0</v>
      </c>
      <c r="BL25" s="262"/>
      <c r="BM25" s="262"/>
      <c r="BN25" s="262"/>
      <c r="BO25" s="262" t="s">
        <v>758</v>
      </c>
      <c r="BP25" s="371"/>
      <c r="BQ25" s="262"/>
      <c r="BR25" s="262"/>
      <c r="BS25" s="260"/>
      <c r="BT25" s="260"/>
      <c r="BU25" s="262"/>
      <c r="BV25" s="262" t="s">
        <v>758</v>
      </c>
      <c r="BW25" s="262">
        <v>1</v>
      </c>
      <c r="BX25" s="266"/>
      <c r="BY25" s="374" t="s">
        <v>893</v>
      </c>
    </row>
    <row r="26" spans="1:77" x14ac:dyDescent="0.15">
      <c r="A26" s="260">
        <v>590</v>
      </c>
      <c r="B26" s="368">
        <v>43383</v>
      </c>
      <c r="C26" s="261" t="s">
        <v>453</v>
      </c>
      <c r="D26" s="260" t="s">
        <v>454</v>
      </c>
      <c r="E26" s="260"/>
      <c r="F26" s="260" t="s">
        <v>505</v>
      </c>
      <c r="G26" s="270">
        <v>43312</v>
      </c>
      <c r="H26" s="262" t="s">
        <v>456</v>
      </c>
      <c r="I26" s="262" t="s">
        <v>457</v>
      </c>
      <c r="J26" s="262">
        <v>10</v>
      </c>
      <c r="K26" s="260" t="s">
        <v>875</v>
      </c>
      <c r="L26" s="260" t="s">
        <v>595</v>
      </c>
      <c r="M26" s="369">
        <v>75.454545454545453</v>
      </c>
      <c r="N26" s="369">
        <v>32.727272727272727</v>
      </c>
      <c r="O26" s="260"/>
      <c r="P26" s="263"/>
      <c r="Q26" s="264"/>
      <c r="R26" s="263"/>
      <c r="S26" s="264"/>
      <c r="T26" s="263"/>
      <c r="U26" s="260"/>
      <c r="V26" s="264"/>
      <c r="W26" s="264"/>
      <c r="X26" s="263"/>
      <c r="Y26" s="260"/>
      <c r="Z26" s="263"/>
      <c r="AA26" s="260"/>
      <c r="AB26" s="263"/>
      <c r="AC26" s="260"/>
      <c r="AD26" s="260"/>
      <c r="AE26" s="264"/>
      <c r="AF26" s="369">
        <v>23.636363636363633</v>
      </c>
      <c r="AG26" s="263"/>
      <c r="AH26" s="260"/>
      <c r="AI26" s="264"/>
      <c r="AJ26" s="260"/>
      <c r="AK26" s="260"/>
      <c r="AL26" s="260"/>
      <c r="AM26" s="260"/>
      <c r="AN26" s="264"/>
      <c r="AO26" s="265"/>
      <c r="AP26" s="264"/>
      <c r="AQ26" s="370" t="s">
        <v>506</v>
      </c>
      <c r="AR26" s="262" t="s">
        <v>457</v>
      </c>
      <c r="AS26" s="262"/>
      <c r="AT26" s="262"/>
      <c r="AU26" s="262"/>
      <c r="AV26" s="262">
        <v>9</v>
      </c>
      <c r="AW26" s="262" t="s">
        <v>876</v>
      </c>
      <c r="AX26" s="262">
        <v>6.5</v>
      </c>
      <c r="AY26" s="262">
        <v>6.5</v>
      </c>
      <c r="AZ26" s="262" t="s">
        <v>462</v>
      </c>
      <c r="BA26" s="260"/>
      <c r="BB26" s="262">
        <v>0</v>
      </c>
      <c r="BC26" s="262">
        <v>0</v>
      </c>
      <c r="BD26" s="262">
        <v>0</v>
      </c>
      <c r="BE26" s="262">
        <v>0</v>
      </c>
      <c r="BF26" s="262">
        <v>0</v>
      </c>
      <c r="BG26" s="262">
        <v>0</v>
      </c>
      <c r="BH26" s="262">
        <v>0</v>
      </c>
      <c r="BI26" s="262">
        <v>0</v>
      </c>
      <c r="BJ26" s="262">
        <v>0</v>
      </c>
      <c r="BK26" s="262">
        <v>0</v>
      </c>
      <c r="BL26" s="262"/>
      <c r="BM26" s="262"/>
      <c r="BN26" s="262"/>
      <c r="BO26" s="262" t="s">
        <v>457</v>
      </c>
      <c r="BP26" s="375">
        <v>163.58181818181816</v>
      </c>
      <c r="BQ26" s="262"/>
      <c r="BR26" s="373"/>
      <c r="BS26" s="266"/>
      <c r="BT26" s="266"/>
      <c r="BU26" s="266"/>
      <c r="BV26" s="262" t="s">
        <v>457</v>
      </c>
      <c r="BW26" s="262"/>
      <c r="BX26" s="260"/>
      <c r="BY26" s="260" t="s">
        <v>894</v>
      </c>
    </row>
    <row r="27" spans="1:77" x14ac:dyDescent="0.15">
      <c r="A27" s="260">
        <v>2033</v>
      </c>
      <c r="B27" s="368">
        <v>43383</v>
      </c>
      <c r="C27" s="261" t="s">
        <v>191</v>
      </c>
      <c r="D27" s="260" t="s">
        <v>454</v>
      </c>
      <c r="E27" s="260"/>
      <c r="F27" s="260" t="s">
        <v>193</v>
      </c>
      <c r="G27" s="270">
        <v>43273</v>
      </c>
      <c r="H27" s="262" t="s">
        <v>863</v>
      </c>
      <c r="I27" s="262" t="s">
        <v>864</v>
      </c>
      <c r="J27" s="262">
        <v>11</v>
      </c>
      <c r="K27" s="260" t="s">
        <v>691</v>
      </c>
      <c r="L27" s="260" t="s">
        <v>791</v>
      </c>
      <c r="M27" s="369">
        <v>138.37272727272727</v>
      </c>
      <c r="N27" s="369">
        <v>40.518181818181816</v>
      </c>
      <c r="O27" s="260"/>
      <c r="P27" s="263"/>
      <c r="Q27" s="264"/>
      <c r="R27" s="263"/>
      <c r="S27" s="264"/>
      <c r="T27" s="263"/>
      <c r="U27" s="260"/>
      <c r="V27" s="264"/>
      <c r="W27" s="264"/>
      <c r="X27" s="260"/>
      <c r="Y27" s="260"/>
      <c r="Z27" s="260"/>
      <c r="AA27" s="260"/>
      <c r="AB27" s="260"/>
      <c r="AC27" s="260"/>
      <c r="AD27" s="260"/>
      <c r="AE27" s="264"/>
      <c r="AF27" s="369">
        <v>32.372727272727268</v>
      </c>
      <c r="AG27" s="263"/>
      <c r="AH27" s="260"/>
      <c r="AI27" s="264"/>
      <c r="AJ27" s="260"/>
      <c r="AK27" s="260"/>
      <c r="AL27" s="260"/>
      <c r="AM27" s="260"/>
      <c r="AN27" s="264"/>
      <c r="AO27" s="265"/>
      <c r="AP27" s="264"/>
      <c r="AQ27" s="370" t="s">
        <v>162</v>
      </c>
      <c r="AR27" s="262" t="s">
        <v>153</v>
      </c>
      <c r="AS27" s="262"/>
      <c r="AT27" s="262"/>
      <c r="AU27" s="262"/>
      <c r="AV27" s="262"/>
      <c r="AW27" s="262"/>
      <c r="AX27" s="262"/>
      <c r="AY27" s="262"/>
      <c r="AZ27" s="262" t="s">
        <v>869</v>
      </c>
      <c r="BA27" s="260"/>
      <c r="BB27" s="262">
        <v>0</v>
      </c>
      <c r="BC27" s="262">
        <v>0</v>
      </c>
      <c r="BD27" s="262">
        <v>0</v>
      </c>
      <c r="BE27" s="262">
        <v>0</v>
      </c>
      <c r="BF27" s="262">
        <v>0</v>
      </c>
      <c r="BG27" s="262">
        <v>0</v>
      </c>
      <c r="BH27" s="262">
        <v>0</v>
      </c>
      <c r="BI27" s="262">
        <v>0</v>
      </c>
      <c r="BJ27" s="262">
        <v>0</v>
      </c>
      <c r="BK27" s="262">
        <v>0</v>
      </c>
      <c r="BL27" s="262"/>
      <c r="BM27" s="262"/>
      <c r="BN27" s="262"/>
      <c r="BO27" s="262" t="s">
        <v>153</v>
      </c>
      <c r="BP27" s="371"/>
      <c r="BQ27" s="262"/>
      <c r="BR27" s="262"/>
      <c r="BS27" s="266"/>
      <c r="BT27" s="266"/>
      <c r="BU27" s="262"/>
      <c r="BV27" s="262" t="s">
        <v>153</v>
      </c>
      <c r="BW27" s="262">
        <v>1</v>
      </c>
      <c r="BX27" s="260"/>
      <c r="BY27" s="260" t="s">
        <v>76</v>
      </c>
    </row>
    <row r="28" spans="1:77" x14ac:dyDescent="0.15">
      <c r="A28" s="260">
        <v>2099</v>
      </c>
      <c r="B28" s="368">
        <v>43383</v>
      </c>
      <c r="C28" s="261" t="s">
        <v>755</v>
      </c>
      <c r="D28" s="260" t="s">
        <v>454</v>
      </c>
      <c r="E28" s="260"/>
      <c r="F28" s="260" t="s">
        <v>808</v>
      </c>
      <c r="G28" s="267">
        <v>43350</v>
      </c>
      <c r="H28" s="262" t="s">
        <v>175</v>
      </c>
      <c r="I28" s="262" t="s">
        <v>174</v>
      </c>
      <c r="J28" s="262">
        <v>12</v>
      </c>
      <c r="K28" s="260" t="s">
        <v>794</v>
      </c>
      <c r="L28" s="260" t="s">
        <v>734</v>
      </c>
      <c r="M28" s="369">
        <v>99</v>
      </c>
      <c r="N28" s="369">
        <v>50.881818181818176</v>
      </c>
      <c r="O28" s="260"/>
      <c r="P28" s="263"/>
      <c r="Q28" s="264"/>
      <c r="R28" s="263"/>
      <c r="S28" s="264"/>
      <c r="T28" s="263"/>
      <c r="U28" s="260"/>
      <c r="V28" s="264"/>
      <c r="W28" s="264"/>
      <c r="X28" s="260"/>
      <c r="Y28" s="260"/>
      <c r="Z28" s="260"/>
      <c r="AA28" s="260"/>
      <c r="AB28" s="260"/>
      <c r="AC28" s="260"/>
      <c r="AD28" s="260"/>
      <c r="AE28" s="264"/>
      <c r="AF28" s="369">
        <v>34.199999999999996</v>
      </c>
      <c r="AG28" s="263"/>
      <c r="AH28" s="260"/>
      <c r="AI28" s="264"/>
      <c r="AJ28" s="260"/>
      <c r="AK28" s="260"/>
      <c r="AL28" s="260"/>
      <c r="AM28" s="260"/>
      <c r="AN28" s="264"/>
      <c r="AO28" s="265"/>
      <c r="AP28" s="264"/>
      <c r="AQ28" s="370" t="s">
        <v>809</v>
      </c>
      <c r="AR28" s="262" t="s">
        <v>758</v>
      </c>
      <c r="AS28" s="262"/>
      <c r="AT28" s="262"/>
      <c r="AU28" s="262"/>
      <c r="AV28" s="262"/>
      <c r="AW28" s="262"/>
      <c r="AX28" s="262"/>
      <c r="AY28" s="262"/>
      <c r="AZ28" s="262" t="s">
        <v>758</v>
      </c>
      <c r="BA28" s="260"/>
      <c r="BB28" s="262">
        <v>0</v>
      </c>
      <c r="BC28" s="262">
        <v>5</v>
      </c>
      <c r="BD28" s="262">
        <v>0</v>
      </c>
      <c r="BE28" s="262">
        <v>0</v>
      </c>
      <c r="BF28" s="262">
        <v>0</v>
      </c>
      <c r="BG28" s="262">
        <v>0</v>
      </c>
      <c r="BH28" s="262">
        <v>0</v>
      </c>
      <c r="BI28" s="262">
        <v>0</v>
      </c>
      <c r="BJ28" s="262">
        <v>0</v>
      </c>
      <c r="BK28" s="262">
        <v>0</v>
      </c>
      <c r="BL28" s="262"/>
      <c r="BM28" s="262"/>
      <c r="BN28" s="262"/>
      <c r="BO28" s="262" t="s">
        <v>758</v>
      </c>
      <c r="BP28" s="371"/>
      <c r="BQ28" s="262"/>
      <c r="BR28" s="262"/>
      <c r="BS28" s="266" t="s">
        <v>878</v>
      </c>
      <c r="BT28" s="266" t="s">
        <v>195</v>
      </c>
      <c r="BU28" s="262">
        <v>50</v>
      </c>
      <c r="BV28" s="262" t="s">
        <v>758</v>
      </c>
      <c r="BW28" s="262"/>
      <c r="BX28" s="266" t="s">
        <v>879</v>
      </c>
      <c r="BY28" s="260" t="s">
        <v>895</v>
      </c>
    </row>
    <row r="29" spans="1:77" x14ac:dyDescent="0.15">
      <c r="A29" s="260">
        <v>1918</v>
      </c>
      <c r="B29" s="368">
        <v>43383</v>
      </c>
      <c r="C29" s="261" t="s">
        <v>191</v>
      </c>
      <c r="D29" s="260" t="s">
        <v>454</v>
      </c>
      <c r="E29" s="260"/>
      <c r="F29" s="260" t="s">
        <v>193</v>
      </c>
      <c r="G29" s="267">
        <v>43270</v>
      </c>
      <c r="H29" s="262" t="s">
        <v>150</v>
      </c>
      <c r="I29" s="262" t="s">
        <v>153</v>
      </c>
      <c r="J29" s="262">
        <v>13</v>
      </c>
      <c r="K29" s="260" t="s">
        <v>881</v>
      </c>
      <c r="L29" s="260" t="s">
        <v>797</v>
      </c>
      <c r="M29" s="369">
        <v>80</v>
      </c>
      <c r="N29" s="369">
        <v>29.299999999999994</v>
      </c>
      <c r="O29" s="260"/>
      <c r="P29" s="263"/>
      <c r="Q29" s="264"/>
      <c r="R29" s="263"/>
      <c r="S29" s="264"/>
      <c r="T29" s="263"/>
      <c r="U29" s="260"/>
      <c r="V29" s="264"/>
      <c r="W29" s="264"/>
      <c r="X29" s="260"/>
      <c r="Y29" s="260"/>
      <c r="Z29" s="260"/>
      <c r="AA29" s="260"/>
      <c r="AB29" s="260"/>
      <c r="AC29" s="260"/>
      <c r="AD29" s="260"/>
      <c r="AE29" s="264"/>
      <c r="AF29" s="369">
        <v>15.099999999999998</v>
      </c>
      <c r="AG29" s="263"/>
      <c r="AH29" s="260"/>
      <c r="AI29" s="264"/>
      <c r="AJ29" s="260"/>
      <c r="AK29" s="260"/>
      <c r="AL29" s="260"/>
      <c r="AM29" s="260"/>
      <c r="AN29" s="264"/>
      <c r="AO29" s="265"/>
      <c r="AP29" s="264"/>
      <c r="AQ29" s="370" t="s">
        <v>162</v>
      </c>
      <c r="AR29" s="262" t="s">
        <v>153</v>
      </c>
      <c r="AS29" s="262"/>
      <c r="AT29" s="262"/>
      <c r="AU29" s="262"/>
      <c r="AV29" s="262">
        <v>8</v>
      </c>
      <c r="AW29" s="262"/>
      <c r="AX29" s="262"/>
      <c r="AY29" s="262"/>
      <c r="AZ29" s="262" t="s">
        <v>153</v>
      </c>
      <c r="BA29" s="260"/>
      <c r="BB29" s="262">
        <v>0</v>
      </c>
      <c r="BC29" s="262">
        <v>0</v>
      </c>
      <c r="BD29" s="262">
        <v>0</v>
      </c>
      <c r="BE29" s="262">
        <v>0</v>
      </c>
      <c r="BF29" s="262">
        <v>0</v>
      </c>
      <c r="BG29" s="262">
        <v>0</v>
      </c>
      <c r="BH29" s="262">
        <v>0</v>
      </c>
      <c r="BI29" s="262">
        <v>0</v>
      </c>
      <c r="BJ29" s="262">
        <v>0</v>
      </c>
      <c r="BK29" s="262">
        <v>0</v>
      </c>
      <c r="BL29" s="262"/>
      <c r="BM29" s="262"/>
      <c r="BN29" s="262"/>
      <c r="BO29" s="262" t="s">
        <v>153</v>
      </c>
      <c r="BP29" s="371"/>
      <c r="BQ29" s="262"/>
      <c r="BR29" s="262"/>
      <c r="BS29" s="266"/>
      <c r="BT29" s="266"/>
      <c r="BU29" s="262"/>
      <c r="BV29" s="262" t="s">
        <v>153</v>
      </c>
      <c r="BW29" s="262">
        <v>1</v>
      </c>
      <c r="BX29" s="260"/>
      <c r="BY29" s="260" t="s">
        <v>76</v>
      </c>
    </row>
    <row r="30" spans="1:77" x14ac:dyDescent="0.15">
      <c r="A30" s="260">
        <v>281</v>
      </c>
      <c r="B30" s="368">
        <v>43383</v>
      </c>
      <c r="C30" s="261" t="s">
        <v>755</v>
      </c>
      <c r="D30" s="260" t="s">
        <v>454</v>
      </c>
      <c r="E30" s="260"/>
      <c r="F30" s="260" t="s">
        <v>808</v>
      </c>
      <c r="G30" s="267">
        <v>43281</v>
      </c>
      <c r="H30" s="262" t="s">
        <v>175</v>
      </c>
      <c r="I30" s="262" t="s">
        <v>174</v>
      </c>
      <c r="J30" s="262">
        <v>15</v>
      </c>
      <c r="K30" s="260" t="s">
        <v>802</v>
      </c>
      <c r="L30" s="260" t="s">
        <v>884</v>
      </c>
      <c r="M30" s="369">
        <v>136.63636363636363</v>
      </c>
      <c r="N30" s="369">
        <v>36.272727272727266</v>
      </c>
      <c r="O30" s="260"/>
      <c r="P30" s="263"/>
      <c r="Q30" s="264"/>
      <c r="R30" s="263"/>
      <c r="S30" s="264"/>
      <c r="T30" s="263"/>
      <c r="U30" s="260"/>
      <c r="V30" s="264"/>
      <c r="W30" s="264"/>
      <c r="X30" s="260"/>
      <c r="Y30" s="260"/>
      <c r="Z30" s="260"/>
      <c r="AA30" s="260"/>
      <c r="AB30" s="260"/>
      <c r="AC30" s="260"/>
      <c r="AD30" s="260"/>
      <c r="AE30" s="264"/>
      <c r="AF30" s="369">
        <v>18.318181818181817</v>
      </c>
      <c r="AG30" s="263"/>
      <c r="AH30" s="260"/>
      <c r="AI30" s="264"/>
      <c r="AJ30" s="260"/>
      <c r="AK30" s="260"/>
      <c r="AL30" s="260"/>
      <c r="AM30" s="260"/>
      <c r="AN30" s="264"/>
      <c r="AO30" s="265"/>
      <c r="AP30" s="264"/>
      <c r="AQ30" s="260" t="s">
        <v>809</v>
      </c>
      <c r="AR30" s="262" t="s">
        <v>758</v>
      </c>
      <c r="AS30" s="262"/>
      <c r="AT30" s="262"/>
      <c r="AU30" s="262"/>
      <c r="AV30" s="262">
        <v>7</v>
      </c>
      <c r="AW30" s="262"/>
      <c r="AX30" s="262"/>
      <c r="AY30" s="262"/>
      <c r="AZ30" s="262" t="s">
        <v>758</v>
      </c>
      <c r="BA30" s="260"/>
      <c r="BB30" s="262">
        <v>0</v>
      </c>
      <c r="BC30" s="262">
        <v>0</v>
      </c>
      <c r="BD30" s="262">
        <v>0</v>
      </c>
      <c r="BE30" s="262">
        <v>0</v>
      </c>
      <c r="BF30" s="262">
        <v>0</v>
      </c>
      <c r="BG30" s="262">
        <v>0</v>
      </c>
      <c r="BH30" s="262">
        <v>0</v>
      </c>
      <c r="BI30" s="262">
        <v>0</v>
      </c>
      <c r="BJ30" s="262">
        <v>0</v>
      </c>
      <c r="BK30" s="262">
        <v>0</v>
      </c>
      <c r="BL30" s="262"/>
      <c r="BM30" s="262"/>
      <c r="BN30" s="262"/>
      <c r="BO30" s="262" t="s">
        <v>758</v>
      </c>
      <c r="BP30" s="371"/>
      <c r="BQ30" s="262"/>
      <c r="BR30" s="262"/>
      <c r="BS30" s="260"/>
      <c r="BT30" s="260"/>
      <c r="BU30" s="262"/>
      <c r="BV30" s="262" t="s">
        <v>758</v>
      </c>
      <c r="BW30" s="262">
        <v>1</v>
      </c>
      <c r="BX30" s="260"/>
      <c r="BY30" s="372" t="s">
        <v>896</v>
      </c>
    </row>
    <row r="31" spans="1:77" x14ac:dyDescent="0.15">
      <c r="A31" s="260">
        <v>1916</v>
      </c>
      <c r="B31" s="368">
        <v>43383</v>
      </c>
      <c r="C31" s="261" t="s">
        <v>755</v>
      </c>
      <c r="D31" s="260" t="s">
        <v>454</v>
      </c>
      <c r="E31" s="260"/>
      <c r="F31" s="260" t="s">
        <v>750</v>
      </c>
      <c r="G31" s="270">
        <v>43284</v>
      </c>
      <c r="H31" s="262" t="s">
        <v>757</v>
      </c>
      <c r="I31" s="262" t="s">
        <v>758</v>
      </c>
      <c r="J31" s="262">
        <v>1</v>
      </c>
      <c r="K31" s="260" t="s">
        <v>759</v>
      </c>
      <c r="L31" s="260" t="s">
        <v>855</v>
      </c>
      <c r="M31" s="369">
        <v>122.2090909090909</v>
      </c>
      <c r="N31" s="369">
        <v>38.763636363636358</v>
      </c>
      <c r="O31" s="260"/>
      <c r="P31" s="263"/>
      <c r="Q31" s="264"/>
      <c r="R31" s="263"/>
      <c r="S31" s="264"/>
      <c r="T31" s="263"/>
      <c r="U31" s="260"/>
      <c r="V31" s="264"/>
      <c r="W31" s="369">
        <v>26.25454545454545</v>
      </c>
      <c r="X31" s="263"/>
      <c r="Y31" s="260"/>
      <c r="Z31" s="263"/>
      <c r="AA31" s="260"/>
      <c r="AB31" s="263"/>
      <c r="AC31" s="260"/>
      <c r="AD31" s="260"/>
      <c r="AE31" s="264"/>
      <c r="AF31" s="264"/>
      <c r="AG31" s="263"/>
      <c r="AH31" s="260"/>
      <c r="AI31" s="369">
        <v>32.272727272727273</v>
      </c>
      <c r="AJ31" s="260"/>
      <c r="AK31" s="260"/>
      <c r="AL31" s="260"/>
      <c r="AM31" s="260"/>
      <c r="AN31" s="264"/>
      <c r="AO31" s="265"/>
      <c r="AP31" s="264"/>
      <c r="AQ31" s="24" t="s">
        <v>832</v>
      </c>
      <c r="AR31" s="262" t="s">
        <v>174</v>
      </c>
      <c r="AS31" s="262"/>
      <c r="AT31" s="262"/>
      <c r="AU31" s="262"/>
      <c r="AV31" s="262">
        <v>5</v>
      </c>
      <c r="AW31" s="262"/>
      <c r="AX31" s="262"/>
      <c r="AY31" s="262"/>
      <c r="AZ31" s="262" t="s">
        <v>762</v>
      </c>
      <c r="BA31" s="260"/>
      <c r="BB31" s="262">
        <v>0</v>
      </c>
      <c r="BC31" s="262">
        <v>0</v>
      </c>
      <c r="BD31" s="262">
        <v>0</v>
      </c>
      <c r="BE31" s="262">
        <v>0</v>
      </c>
      <c r="BF31" s="262">
        <v>0</v>
      </c>
      <c r="BG31" s="262">
        <v>0</v>
      </c>
      <c r="BH31" s="262">
        <v>0</v>
      </c>
      <c r="BI31" s="262">
        <v>0</v>
      </c>
      <c r="BJ31" s="262">
        <v>0</v>
      </c>
      <c r="BK31" s="262">
        <v>0</v>
      </c>
      <c r="BL31" s="262">
        <v>12</v>
      </c>
      <c r="BM31" s="262"/>
      <c r="BN31" s="262">
        <v>12</v>
      </c>
      <c r="BO31" s="262" t="s">
        <v>758</v>
      </c>
      <c r="BP31" s="371"/>
      <c r="BQ31" s="262"/>
      <c r="BR31" s="262"/>
      <c r="BS31" s="260"/>
      <c r="BT31" s="260"/>
      <c r="BU31" s="262"/>
      <c r="BV31" s="262" t="s">
        <v>758</v>
      </c>
      <c r="BW31" s="262"/>
      <c r="BX31" s="260" t="s">
        <v>763</v>
      </c>
      <c r="BY31" s="266" t="s">
        <v>897</v>
      </c>
    </row>
    <row r="32" spans="1:77" x14ac:dyDescent="0.15">
      <c r="A32" s="260">
        <v>283</v>
      </c>
      <c r="B32" s="368">
        <v>43383</v>
      </c>
      <c r="C32" s="261" t="s">
        <v>755</v>
      </c>
      <c r="D32" s="260" t="s">
        <v>454</v>
      </c>
      <c r="E32" s="260"/>
      <c r="F32" s="260" t="s">
        <v>750</v>
      </c>
      <c r="G32" s="267">
        <v>43281</v>
      </c>
      <c r="H32" s="262" t="s">
        <v>175</v>
      </c>
      <c r="I32" s="262" t="s">
        <v>174</v>
      </c>
      <c r="J32" s="262">
        <v>15</v>
      </c>
      <c r="K32" s="260" t="s">
        <v>802</v>
      </c>
      <c r="L32" s="260" t="s">
        <v>884</v>
      </c>
      <c r="M32" s="369">
        <v>136.63636363636363</v>
      </c>
      <c r="N32" s="369">
        <v>39.090909090909086</v>
      </c>
      <c r="O32" s="260"/>
      <c r="P32" s="263"/>
      <c r="Q32" s="264"/>
      <c r="R32" s="263"/>
      <c r="S32" s="264"/>
      <c r="T32" s="263"/>
      <c r="U32" s="260"/>
      <c r="V32" s="264"/>
      <c r="W32" s="369">
        <v>24.727272727272723</v>
      </c>
      <c r="X32" s="260"/>
      <c r="Y32" s="260"/>
      <c r="Z32" s="260"/>
      <c r="AA32" s="260"/>
      <c r="AB32" s="260"/>
      <c r="AC32" s="260"/>
      <c r="AD32" s="260"/>
      <c r="AE32" s="264"/>
      <c r="AF32" s="264"/>
      <c r="AG32" s="263"/>
      <c r="AH32" s="260"/>
      <c r="AI32" s="369">
        <v>35.236363636363635</v>
      </c>
      <c r="AJ32" s="260"/>
      <c r="AK32" s="260"/>
      <c r="AL32" s="260"/>
      <c r="AM32" s="260"/>
      <c r="AN32" s="264"/>
      <c r="AO32" s="265"/>
      <c r="AP32" s="264"/>
      <c r="AQ32" s="24" t="s">
        <v>835</v>
      </c>
      <c r="AR32" s="262" t="s">
        <v>758</v>
      </c>
      <c r="AS32" s="262"/>
      <c r="AT32" s="262"/>
      <c r="AU32" s="262"/>
      <c r="AV32" s="262">
        <v>7</v>
      </c>
      <c r="AW32" s="262"/>
      <c r="AX32" s="262"/>
      <c r="AY32" s="262"/>
      <c r="AZ32" s="262" t="s">
        <v>758</v>
      </c>
      <c r="BA32" s="260"/>
      <c r="BB32" s="262">
        <v>0</v>
      </c>
      <c r="BC32" s="262">
        <v>0</v>
      </c>
      <c r="BD32" s="262">
        <v>0</v>
      </c>
      <c r="BE32" s="262">
        <v>0</v>
      </c>
      <c r="BF32" s="262">
        <v>0</v>
      </c>
      <c r="BG32" s="262">
        <v>0</v>
      </c>
      <c r="BH32" s="262">
        <v>0</v>
      </c>
      <c r="BI32" s="262">
        <v>0</v>
      </c>
      <c r="BJ32" s="262">
        <v>0</v>
      </c>
      <c r="BK32" s="262">
        <v>0</v>
      </c>
      <c r="BL32" s="262"/>
      <c r="BM32" s="262"/>
      <c r="BN32" s="262"/>
      <c r="BO32" s="262" t="s">
        <v>758</v>
      </c>
      <c r="BP32" s="371"/>
      <c r="BQ32" s="262"/>
      <c r="BR32" s="262"/>
      <c r="BS32" s="260"/>
      <c r="BT32" s="260"/>
      <c r="BU32" s="262"/>
      <c r="BV32" s="262" t="s">
        <v>758</v>
      </c>
      <c r="BW32" s="262">
        <v>1</v>
      </c>
      <c r="BX32" s="260"/>
      <c r="BY32" s="260" t="s">
        <v>898</v>
      </c>
    </row>
    <row r="33" spans="1:77" x14ac:dyDescent="0.15">
      <c r="A33" s="260">
        <v>169</v>
      </c>
      <c r="B33" s="368">
        <v>43383</v>
      </c>
      <c r="C33" s="261" t="s">
        <v>755</v>
      </c>
      <c r="D33" s="260" t="s">
        <v>454</v>
      </c>
      <c r="E33" s="260"/>
      <c r="F33" s="260" t="s">
        <v>406</v>
      </c>
      <c r="G33" s="267">
        <v>43343</v>
      </c>
      <c r="H33" s="262" t="s">
        <v>175</v>
      </c>
      <c r="I33" s="262" t="s">
        <v>174</v>
      </c>
      <c r="J33" s="262">
        <v>2</v>
      </c>
      <c r="K33" s="260" t="s">
        <v>765</v>
      </c>
      <c r="L33" s="260" t="s">
        <v>766</v>
      </c>
      <c r="M33" s="369">
        <v>93.11818181818181</v>
      </c>
      <c r="N33" s="369">
        <v>46.499999999999993</v>
      </c>
      <c r="O33" s="260"/>
      <c r="P33" s="263"/>
      <c r="Q33" s="264"/>
      <c r="R33" s="263"/>
      <c r="S33" s="264"/>
      <c r="T33" s="263"/>
      <c r="U33" s="260"/>
      <c r="V33" s="264"/>
      <c r="W33" s="369">
        <v>27.763636363636362</v>
      </c>
      <c r="X33" s="260"/>
      <c r="Y33" s="260"/>
      <c r="Z33" s="260"/>
      <c r="AA33" s="260"/>
      <c r="AB33" s="260"/>
      <c r="AC33" s="260"/>
      <c r="AD33" s="260"/>
      <c r="AE33" s="264"/>
      <c r="AF33" s="264"/>
      <c r="AG33" s="263"/>
      <c r="AH33" s="260"/>
      <c r="AI33" s="264"/>
      <c r="AJ33" s="260"/>
      <c r="AK33" s="260"/>
      <c r="AL33" s="260"/>
      <c r="AM33" s="260"/>
      <c r="AN33" s="264"/>
      <c r="AO33" s="265"/>
      <c r="AP33" s="264"/>
      <c r="AQ33" s="260" t="s">
        <v>838</v>
      </c>
      <c r="AR33" s="262" t="s">
        <v>758</v>
      </c>
      <c r="AS33" s="262"/>
      <c r="AT33" s="262"/>
      <c r="AU33" s="262"/>
      <c r="AV33" s="262">
        <v>8</v>
      </c>
      <c r="AW33" s="262"/>
      <c r="AX33" s="262"/>
      <c r="AY33" s="262"/>
      <c r="AZ33" s="262" t="s">
        <v>758</v>
      </c>
      <c r="BA33" s="260"/>
      <c r="BB33" s="262">
        <v>0</v>
      </c>
      <c r="BC33" s="262">
        <v>0</v>
      </c>
      <c r="BD33" s="262">
        <v>0</v>
      </c>
      <c r="BE33" s="262">
        <v>0</v>
      </c>
      <c r="BF33" s="262">
        <v>0</v>
      </c>
      <c r="BG33" s="262">
        <v>0</v>
      </c>
      <c r="BH33" s="262">
        <v>0</v>
      </c>
      <c r="BI33" s="262">
        <v>0</v>
      </c>
      <c r="BJ33" s="262">
        <v>0</v>
      </c>
      <c r="BK33" s="262">
        <v>0</v>
      </c>
      <c r="BL33" s="262"/>
      <c r="BM33" s="262"/>
      <c r="BN33" s="262"/>
      <c r="BO33" s="262" t="s">
        <v>758</v>
      </c>
      <c r="BP33" s="371"/>
      <c r="BQ33" s="262"/>
      <c r="BR33" s="262"/>
      <c r="BS33" s="260"/>
      <c r="BT33" s="260"/>
      <c r="BU33" s="262"/>
      <c r="BV33" s="262" t="s">
        <v>758</v>
      </c>
      <c r="BW33" s="262">
        <v>1</v>
      </c>
      <c r="BX33" s="260"/>
      <c r="BY33" s="260" t="s">
        <v>899</v>
      </c>
    </row>
    <row r="34" spans="1:77" x14ac:dyDescent="0.15">
      <c r="A34" s="260">
        <v>433</v>
      </c>
      <c r="B34" s="368">
        <v>43383</v>
      </c>
      <c r="C34" s="261" t="s">
        <v>315</v>
      </c>
      <c r="D34" s="260" t="s">
        <v>454</v>
      </c>
      <c r="E34" s="260"/>
      <c r="F34" s="260" t="s">
        <v>406</v>
      </c>
      <c r="G34" s="270">
        <v>43281</v>
      </c>
      <c r="H34" s="262" t="s">
        <v>334</v>
      </c>
      <c r="I34" s="262" t="s">
        <v>318</v>
      </c>
      <c r="J34" s="262">
        <v>3</v>
      </c>
      <c r="K34" s="260" t="s">
        <v>341</v>
      </c>
      <c r="L34" s="260" t="s">
        <v>858</v>
      </c>
      <c r="M34" s="369">
        <v>106.72727272727272</v>
      </c>
      <c r="N34" s="369">
        <v>41.636363636363633</v>
      </c>
      <c r="O34" s="260" t="s">
        <v>518</v>
      </c>
      <c r="P34" s="263">
        <v>1000</v>
      </c>
      <c r="Q34" s="369">
        <v>46.736363636363627</v>
      </c>
      <c r="R34" s="263">
        <v>1500</v>
      </c>
      <c r="S34" s="369">
        <v>50.272727272727266</v>
      </c>
      <c r="T34" s="263"/>
      <c r="U34" s="260"/>
      <c r="V34" s="264"/>
      <c r="W34" s="369">
        <v>27.054545454545455</v>
      </c>
      <c r="X34" s="260"/>
      <c r="Y34" s="260"/>
      <c r="Z34" s="260"/>
      <c r="AA34" s="260"/>
      <c r="AB34" s="260"/>
      <c r="AC34" s="260"/>
      <c r="AD34" s="260"/>
      <c r="AE34" s="264"/>
      <c r="AF34" s="264"/>
      <c r="AG34" s="263"/>
      <c r="AH34" s="260"/>
      <c r="AI34" s="264"/>
      <c r="AJ34" s="260"/>
      <c r="AK34" s="260"/>
      <c r="AL34" s="260"/>
      <c r="AM34" s="260"/>
      <c r="AN34" s="264"/>
      <c r="AO34" s="265"/>
      <c r="AP34" s="264"/>
      <c r="AQ34" s="260" t="s">
        <v>407</v>
      </c>
      <c r="AR34" s="262" t="s">
        <v>318</v>
      </c>
      <c r="AS34" s="262"/>
      <c r="AT34" s="262"/>
      <c r="AU34" s="262"/>
      <c r="AV34" s="262">
        <v>5.2</v>
      </c>
      <c r="AW34" s="262"/>
      <c r="AX34" s="262"/>
      <c r="AY34" s="262"/>
      <c r="AZ34" s="262" t="s">
        <v>323</v>
      </c>
      <c r="BA34" s="260"/>
      <c r="BB34" s="262">
        <v>0</v>
      </c>
      <c r="BC34" s="262">
        <v>0</v>
      </c>
      <c r="BD34" s="262">
        <v>2</v>
      </c>
      <c r="BE34" s="262">
        <v>0</v>
      </c>
      <c r="BF34" s="262">
        <v>0</v>
      </c>
      <c r="BG34" s="262">
        <v>0</v>
      </c>
      <c r="BH34" s="262">
        <v>0</v>
      </c>
      <c r="BI34" s="262">
        <v>0</v>
      </c>
      <c r="BJ34" s="262">
        <v>0</v>
      </c>
      <c r="BK34" s="262">
        <v>0</v>
      </c>
      <c r="BL34" s="262"/>
      <c r="BM34" s="262"/>
      <c r="BN34" s="262"/>
      <c r="BO34" s="262" t="s">
        <v>318</v>
      </c>
      <c r="BP34" s="371"/>
      <c r="BQ34" s="262"/>
      <c r="BR34" s="262"/>
      <c r="BS34" s="260"/>
      <c r="BT34" s="260"/>
      <c r="BU34" s="262"/>
      <c r="BV34" s="262" t="s">
        <v>318</v>
      </c>
      <c r="BW34" s="262"/>
      <c r="BX34" s="260"/>
      <c r="BY34" s="260" t="s">
        <v>655</v>
      </c>
    </row>
    <row r="35" spans="1:77" x14ac:dyDescent="0.15">
      <c r="A35" s="260">
        <v>754</v>
      </c>
      <c r="B35" s="368">
        <v>43383</v>
      </c>
      <c r="C35" s="261" t="s">
        <v>453</v>
      </c>
      <c r="D35" s="260" t="s">
        <v>454</v>
      </c>
      <c r="E35" s="260"/>
      <c r="F35" s="260" t="s">
        <v>507</v>
      </c>
      <c r="G35" s="270">
        <v>43356</v>
      </c>
      <c r="H35" s="262" t="s">
        <v>456</v>
      </c>
      <c r="I35" s="262" t="s">
        <v>457</v>
      </c>
      <c r="J35" s="262">
        <v>4</v>
      </c>
      <c r="K35" s="260" t="s">
        <v>476</v>
      </c>
      <c r="L35" s="260" t="s">
        <v>859</v>
      </c>
      <c r="M35" s="369">
        <v>108.49999999999999</v>
      </c>
      <c r="N35" s="369">
        <v>49.5</v>
      </c>
      <c r="O35" s="260"/>
      <c r="P35" s="263"/>
      <c r="Q35" s="264"/>
      <c r="R35" s="263"/>
      <c r="S35" s="264"/>
      <c r="T35" s="263"/>
      <c r="U35" s="260"/>
      <c r="V35" s="264"/>
      <c r="W35" s="369">
        <v>28.727272727272727</v>
      </c>
      <c r="X35" s="263"/>
      <c r="Y35" s="260"/>
      <c r="Z35" s="263"/>
      <c r="AA35" s="260"/>
      <c r="AB35" s="263"/>
      <c r="AC35" s="260"/>
      <c r="AD35" s="260"/>
      <c r="AE35" s="264"/>
      <c r="AF35" s="264"/>
      <c r="AG35" s="263"/>
      <c r="AH35" s="260"/>
      <c r="AI35" s="264"/>
      <c r="AJ35" s="260"/>
      <c r="AK35" s="260"/>
      <c r="AL35" s="260"/>
      <c r="AM35" s="260"/>
      <c r="AN35" s="264"/>
      <c r="AO35" s="265"/>
      <c r="AP35" s="264"/>
      <c r="AQ35" s="260" t="s">
        <v>508</v>
      </c>
      <c r="AR35" s="262" t="s">
        <v>457</v>
      </c>
      <c r="AS35" s="262"/>
      <c r="AT35" s="262"/>
      <c r="AU35" s="262"/>
      <c r="AV35" s="262">
        <v>9.35</v>
      </c>
      <c r="AW35" s="262"/>
      <c r="AX35" s="262"/>
      <c r="AY35" s="262"/>
      <c r="AZ35" s="262" t="s">
        <v>462</v>
      </c>
      <c r="BA35" s="260"/>
      <c r="BB35" s="262">
        <v>2</v>
      </c>
      <c r="BC35" s="262">
        <v>0</v>
      </c>
      <c r="BD35" s="262">
        <v>0</v>
      </c>
      <c r="BE35" s="262">
        <v>0</v>
      </c>
      <c r="BF35" s="262">
        <v>0</v>
      </c>
      <c r="BG35" s="262">
        <v>0</v>
      </c>
      <c r="BH35" s="262">
        <v>0</v>
      </c>
      <c r="BI35" s="262">
        <v>0</v>
      </c>
      <c r="BJ35" s="262">
        <v>0</v>
      </c>
      <c r="BK35" s="262">
        <v>0</v>
      </c>
      <c r="BL35" s="262"/>
      <c r="BM35" s="262"/>
      <c r="BN35" s="262">
        <v>24</v>
      </c>
      <c r="BO35" s="262" t="s">
        <v>457</v>
      </c>
      <c r="BP35" s="371"/>
      <c r="BQ35" s="262"/>
      <c r="BR35" s="262"/>
      <c r="BS35" s="260"/>
      <c r="BT35" s="260"/>
      <c r="BU35" s="262"/>
      <c r="BV35" s="262" t="s">
        <v>457</v>
      </c>
      <c r="BW35" s="262">
        <v>1</v>
      </c>
      <c r="BX35" s="260"/>
      <c r="BY35" s="260" t="s">
        <v>76</v>
      </c>
    </row>
    <row r="36" spans="1:77" x14ac:dyDescent="0.15">
      <c r="A36" s="260">
        <v>978</v>
      </c>
      <c r="B36" s="368">
        <v>43383</v>
      </c>
      <c r="C36" s="261" t="s">
        <v>861</v>
      </c>
      <c r="D36" s="260" t="s">
        <v>454</v>
      </c>
      <c r="E36" s="260"/>
      <c r="F36" s="260" t="s">
        <v>900</v>
      </c>
      <c r="G36" s="270">
        <v>43302</v>
      </c>
      <c r="H36" s="262" t="s">
        <v>863</v>
      </c>
      <c r="I36" s="262" t="s">
        <v>864</v>
      </c>
      <c r="J36" s="262">
        <v>5</v>
      </c>
      <c r="K36" s="260" t="s">
        <v>302</v>
      </c>
      <c r="L36" s="260" t="s">
        <v>521</v>
      </c>
      <c r="M36" s="369">
        <v>130</v>
      </c>
      <c r="N36" s="369">
        <v>38.954545454545453</v>
      </c>
      <c r="O36" s="260"/>
      <c r="P36" s="263"/>
      <c r="Q36" s="264"/>
      <c r="R36" s="263"/>
      <c r="S36" s="264"/>
      <c r="T36" s="263"/>
      <c r="U36" s="260"/>
      <c r="V36" s="264"/>
      <c r="W36" s="369">
        <v>24.981818181818181</v>
      </c>
      <c r="X36" s="260"/>
      <c r="Y36" s="260"/>
      <c r="Z36" s="260"/>
      <c r="AA36" s="260"/>
      <c r="AB36" s="260"/>
      <c r="AC36" s="260"/>
      <c r="AD36" s="260"/>
      <c r="AE36" s="264"/>
      <c r="AF36" s="264"/>
      <c r="AG36" s="263"/>
      <c r="AH36" s="260"/>
      <c r="AI36" s="264"/>
      <c r="AJ36" s="260"/>
      <c r="AK36" s="260"/>
      <c r="AL36" s="260"/>
      <c r="AM36" s="260"/>
      <c r="AN36" s="264"/>
      <c r="AO36" s="265"/>
      <c r="AP36" s="264"/>
      <c r="AQ36" s="260" t="s">
        <v>901</v>
      </c>
      <c r="AR36" s="262" t="s">
        <v>864</v>
      </c>
      <c r="AS36" s="262"/>
      <c r="AT36" s="262"/>
      <c r="AU36" s="262"/>
      <c r="AV36" s="262">
        <v>3</v>
      </c>
      <c r="AW36" s="262"/>
      <c r="AX36" s="262"/>
      <c r="AY36" s="262"/>
      <c r="AZ36" s="262" t="s">
        <v>361</v>
      </c>
      <c r="BA36" s="260"/>
      <c r="BB36" s="262">
        <v>0</v>
      </c>
      <c r="BC36" s="262">
        <v>0</v>
      </c>
      <c r="BD36" s="262">
        <v>0</v>
      </c>
      <c r="BE36" s="262">
        <v>0</v>
      </c>
      <c r="BF36" s="262">
        <v>0</v>
      </c>
      <c r="BG36" s="262">
        <v>0</v>
      </c>
      <c r="BH36" s="262">
        <v>0</v>
      </c>
      <c r="BI36" s="262">
        <v>0</v>
      </c>
      <c r="BJ36" s="262">
        <v>0</v>
      </c>
      <c r="BK36" s="262">
        <v>0</v>
      </c>
      <c r="BL36" s="262"/>
      <c r="BM36" s="262"/>
      <c r="BN36" s="262"/>
      <c r="BO36" s="262" t="s">
        <v>864</v>
      </c>
      <c r="BP36" s="371"/>
      <c r="BQ36" s="262"/>
      <c r="BR36" s="262"/>
      <c r="BS36" s="260"/>
      <c r="BT36" s="260"/>
      <c r="BU36" s="262"/>
      <c r="BV36" s="262" t="s">
        <v>864</v>
      </c>
      <c r="BW36" s="262"/>
      <c r="BX36" s="260"/>
      <c r="BY36" s="260" t="s">
        <v>76</v>
      </c>
    </row>
    <row r="37" spans="1:77" x14ac:dyDescent="0.15">
      <c r="A37" s="260">
        <v>1381</v>
      </c>
      <c r="B37" s="368">
        <v>43383</v>
      </c>
      <c r="C37" s="261" t="s">
        <v>755</v>
      </c>
      <c r="D37" s="260" t="s">
        <v>454</v>
      </c>
      <c r="E37" s="260"/>
      <c r="F37" s="260" t="s">
        <v>837</v>
      </c>
      <c r="G37" s="270">
        <v>43305</v>
      </c>
      <c r="H37" s="262" t="s">
        <v>757</v>
      </c>
      <c r="I37" s="262" t="s">
        <v>758</v>
      </c>
      <c r="J37" s="262">
        <v>6</v>
      </c>
      <c r="K37" s="260" t="s">
        <v>773</v>
      </c>
      <c r="L37" s="260" t="s">
        <v>774</v>
      </c>
      <c r="M37" s="369">
        <v>91.827272727272728</v>
      </c>
      <c r="N37" s="369">
        <v>37.927272727272722</v>
      </c>
      <c r="O37" s="260"/>
      <c r="P37" s="263"/>
      <c r="Q37" s="264"/>
      <c r="R37" s="263"/>
      <c r="S37" s="264"/>
      <c r="T37" s="263"/>
      <c r="U37" s="260"/>
      <c r="V37" s="264"/>
      <c r="W37" s="369">
        <v>24.645454545454545</v>
      </c>
      <c r="X37" s="260"/>
      <c r="Y37" s="260"/>
      <c r="Z37" s="263"/>
      <c r="AA37" s="260"/>
      <c r="AB37" s="263"/>
      <c r="AC37" s="260"/>
      <c r="AD37" s="260"/>
      <c r="AE37" s="264"/>
      <c r="AF37" s="264"/>
      <c r="AG37" s="263"/>
      <c r="AH37" s="260"/>
      <c r="AI37" s="264"/>
      <c r="AJ37" s="260"/>
      <c r="AK37" s="260"/>
      <c r="AL37" s="260"/>
      <c r="AM37" s="260"/>
      <c r="AN37" s="260"/>
      <c r="AO37" s="265"/>
      <c r="AP37" s="264"/>
      <c r="AQ37" s="260" t="s">
        <v>838</v>
      </c>
      <c r="AR37" s="262" t="s">
        <v>758</v>
      </c>
      <c r="AS37" s="262"/>
      <c r="AT37" s="262"/>
      <c r="AU37" s="262"/>
      <c r="AV37" s="262">
        <v>5</v>
      </c>
      <c r="AW37" s="262"/>
      <c r="AX37" s="262"/>
      <c r="AY37" s="262"/>
      <c r="AZ37" s="262" t="s">
        <v>762</v>
      </c>
      <c r="BA37" s="260"/>
      <c r="BB37" s="262">
        <v>0</v>
      </c>
      <c r="BC37" s="262">
        <v>0</v>
      </c>
      <c r="BD37" s="262">
        <v>0</v>
      </c>
      <c r="BE37" s="262">
        <v>0</v>
      </c>
      <c r="BF37" s="262">
        <v>0</v>
      </c>
      <c r="BG37" s="262">
        <v>0</v>
      </c>
      <c r="BH37" s="262">
        <v>0</v>
      </c>
      <c r="BI37" s="262">
        <v>0</v>
      </c>
      <c r="BJ37" s="262">
        <v>0</v>
      </c>
      <c r="BK37" s="262">
        <v>0</v>
      </c>
      <c r="BL37" s="262"/>
      <c r="BM37" s="262"/>
      <c r="BN37" s="262">
        <v>12</v>
      </c>
      <c r="BO37" s="262" t="s">
        <v>758</v>
      </c>
      <c r="BP37" s="371"/>
      <c r="BQ37" s="262"/>
      <c r="BR37" s="262"/>
      <c r="BS37" s="260"/>
      <c r="BT37" s="260"/>
      <c r="BU37" s="262"/>
      <c r="BV37" s="262" t="s">
        <v>758</v>
      </c>
      <c r="BW37" s="262"/>
      <c r="BX37" s="260"/>
      <c r="BY37" s="372" t="s">
        <v>902</v>
      </c>
    </row>
    <row r="38" spans="1:77" x14ac:dyDescent="0.15">
      <c r="A38" s="260">
        <v>1715</v>
      </c>
      <c r="B38" s="368">
        <v>43383</v>
      </c>
      <c r="C38" s="261" t="s">
        <v>861</v>
      </c>
      <c r="D38" s="260" t="s">
        <v>454</v>
      </c>
      <c r="E38" s="260"/>
      <c r="F38" s="260" t="s">
        <v>900</v>
      </c>
      <c r="G38" s="270">
        <v>43302</v>
      </c>
      <c r="H38" s="262" t="s">
        <v>863</v>
      </c>
      <c r="I38" s="262" t="s">
        <v>864</v>
      </c>
      <c r="J38" s="262">
        <v>7</v>
      </c>
      <c r="K38" s="260" t="s">
        <v>868</v>
      </c>
      <c r="L38" s="260" t="s">
        <v>525</v>
      </c>
      <c r="M38" s="369">
        <v>130</v>
      </c>
      <c r="N38" s="369">
        <v>38.954545454545453</v>
      </c>
      <c r="O38" s="260"/>
      <c r="P38" s="263"/>
      <c r="Q38" s="264"/>
      <c r="R38" s="263"/>
      <c r="S38" s="264"/>
      <c r="T38" s="260"/>
      <c r="U38" s="260"/>
      <c r="V38" s="264"/>
      <c r="W38" s="369">
        <v>24.981818181818181</v>
      </c>
      <c r="X38" s="260"/>
      <c r="Y38" s="260"/>
      <c r="Z38" s="260"/>
      <c r="AA38" s="260"/>
      <c r="AB38" s="260"/>
      <c r="AC38" s="260"/>
      <c r="AD38" s="260"/>
      <c r="AE38" s="264"/>
      <c r="AF38" s="264"/>
      <c r="AG38" s="263"/>
      <c r="AH38" s="260"/>
      <c r="AI38" s="264"/>
      <c r="AJ38" s="260"/>
      <c r="AK38" s="260"/>
      <c r="AL38" s="260"/>
      <c r="AM38" s="260"/>
      <c r="AN38" s="264"/>
      <c r="AO38" s="265"/>
      <c r="AP38" s="264"/>
      <c r="AQ38" s="260" t="s">
        <v>901</v>
      </c>
      <c r="AR38" s="262" t="s">
        <v>864</v>
      </c>
      <c r="AS38" s="262"/>
      <c r="AT38" s="262"/>
      <c r="AU38" s="262"/>
      <c r="AV38" s="262">
        <v>3</v>
      </c>
      <c r="AW38" s="262"/>
      <c r="AX38" s="262"/>
      <c r="AY38" s="262"/>
      <c r="AZ38" s="262" t="s">
        <v>869</v>
      </c>
      <c r="BA38" s="260"/>
      <c r="BB38" s="262">
        <v>0</v>
      </c>
      <c r="BC38" s="262">
        <v>0</v>
      </c>
      <c r="BD38" s="262">
        <v>0</v>
      </c>
      <c r="BE38" s="262">
        <v>0</v>
      </c>
      <c r="BF38" s="262">
        <v>0</v>
      </c>
      <c r="BG38" s="262">
        <v>0</v>
      </c>
      <c r="BH38" s="262">
        <v>0</v>
      </c>
      <c r="BI38" s="262">
        <v>0</v>
      </c>
      <c r="BJ38" s="262">
        <v>0</v>
      </c>
      <c r="BK38" s="262">
        <v>0</v>
      </c>
      <c r="BL38" s="262"/>
      <c r="BM38" s="262"/>
      <c r="BN38" s="262"/>
      <c r="BO38" s="262" t="s">
        <v>864</v>
      </c>
      <c r="BP38" s="371"/>
      <c r="BQ38" s="262"/>
      <c r="BR38" s="373"/>
      <c r="BS38" s="260"/>
      <c r="BT38" s="260"/>
      <c r="BU38" s="262"/>
      <c r="BV38" s="262" t="s">
        <v>864</v>
      </c>
      <c r="BW38" s="262"/>
      <c r="BX38" s="260"/>
      <c r="BY38" s="260" t="s">
        <v>903</v>
      </c>
    </row>
    <row r="39" spans="1:77" x14ac:dyDescent="0.15">
      <c r="A39" s="260">
        <v>2037</v>
      </c>
      <c r="B39" s="368">
        <v>43383</v>
      </c>
      <c r="C39" s="261" t="s">
        <v>861</v>
      </c>
      <c r="D39" s="260" t="s">
        <v>454</v>
      </c>
      <c r="E39" s="260"/>
      <c r="F39" s="260" t="s">
        <v>900</v>
      </c>
      <c r="G39" s="270">
        <v>43281</v>
      </c>
      <c r="H39" s="262" t="s">
        <v>863</v>
      </c>
      <c r="I39" s="262" t="s">
        <v>864</v>
      </c>
      <c r="J39" s="262">
        <v>8</v>
      </c>
      <c r="K39" s="260" t="s">
        <v>254</v>
      </c>
      <c r="L39" s="260" t="s">
        <v>871</v>
      </c>
      <c r="M39" s="369">
        <v>106.58181818181816</v>
      </c>
      <c r="N39" s="369">
        <v>46.11818181818181</v>
      </c>
      <c r="O39" s="260"/>
      <c r="P39" s="263"/>
      <c r="Q39" s="264"/>
      <c r="R39" s="263"/>
      <c r="S39" s="264"/>
      <c r="T39" s="260"/>
      <c r="U39" s="260"/>
      <c r="V39" s="264"/>
      <c r="W39" s="369">
        <v>27.127272727272725</v>
      </c>
      <c r="X39" s="260"/>
      <c r="Y39" s="260"/>
      <c r="Z39" s="260"/>
      <c r="AA39" s="260"/>
      <c r="AB39" s="260"/>
      <c r="AC39" s="260"/>
      <c r="AD39" s="260"/>
      <c r="AE39" s="264"/>
      <c r="AF39" s="264"/>
      <c r="AG39" s="263"/>
      <c r="AH39" s="260"/>
      <c r="AI39" s="264"/>
      <c r="AJ39" s="260"/>
      <c r="AK39" s="260"/>
      <c r="AL39" s="260"/>
      <c r="AM39" s="260"/>
      <c r="AN39" s="264"/>
      <c r="AO39" s="265"/>
      <c r="AP39" s="264"/>
      <c r="AQ39" s="260" t="s">
        <v>901</v>
      </c>
      <c r="AR39" s="262" t="s">
        <v>864</v>
      </c>
      <c r="AS39" s="262"/>
      <c r="AT39" s="262"/>
      <c r="AU39" s="262"/>
      <c r="AV39" s="262">
        <v>6</v>
      </c>
      <c r="AW39" s="262"/>
      <c r="AX39" s="262"/>
      <c r="AY39" s="262"/>
      <c r="AZ39" s="262" t="s">
        <v>153</v>
      </c>
      <c r="BA39" s="260"/>
      <c r="BB39" s="262">
        <v>0</v>
      </c>
      <c r="BC39" s="262">
        <v>0</v>
      </c>
      <c r="BD39" s="262">
        <v>0</v>
      </c>
      <c r="BE39" s="262">
        <v>0</v>
      </c>
      <c r="BF39" s="262">
        <v>0</v>
      </c>
      <c r="BG39" s="262">
        <v>0</v>
      </c>
      <c r="BH39" s="262">
        <v>0</v>
      </c>
      <c r="BI39" s="262">
        <v>0</v>
      </c>
      <c r="BJ39" s="262">
        <v>0</v>
      </c>
      <c r="BK39" s="262">
        <v>0</v>
      </c>
      <c r="BL39" s="262"/>
      <c r="BM39" s="262"/>
      <c r="BN39" s="262"/>
      <c r="BO39" s="262" t="s">
        <v>864</v>
      </c>
      <c r="BP39" s="371"/>
      <c r="BQ39" s="262"/>
      <c r="BR39" s="373"/>
      <c r="BS39" s="260"/>
      <c r="BT39" s="260"/>
      <c r="BU39" s="262"/>
      <c r="BV39" s="262" t="s">
        <v>864</v>
      </c>
      <c r="BW39" s="262"/>
      <c r="BX39" s="260"/>
      <c r="BY39" s="260" t="s">
        <v>904</v>
      </c>
    </row>
    <row r="40" spans="1:77" x14ac:dyDescent="0.15">
      <c r="A40" s="260">
        <v>1502</v>
      </c>
      <c r="B40" s="368">
        <v>43383</v>
      </c>
      <c r="C40" s="261" t="s">
        <v>755</v>
      </c>
      <c r="D40" s="260" t="s">
        <v>454</v>
      </c>
      <c r="E40" s="260"/>
      <c r="F40" s="260" t="s">
        <v>837</v>
      </c>
      <c r="G40" s="270">
        <v>43266</v>
      </c>
      <c r="H40" s="262" t="s">
        <v>757</v>
      </c>
      <c r="I40" s="262" t="s">
        <v>758</v>
      </c>
      <c r="J40" s="262">
        <v>9</v>
      </c>
      <c r="K40" s="260" t="s">
        <v>495</v>
      </c>
      <c r="L40" s="260" t="s">
        <v>873</v>
      </c>
      <c r="M40" s="369">
        <v>138.6181818181818</v>
      </c>
      <c r="N40" s="369">
        <v>40.318181818181813</v>
      </c>
      <c r="O40" s="260"/>
      <c r="P40" s="263"/>
      <c r="Q40" s="264"/>
      <c r="R40" s="263"/>
      <c r="S40" s="264"/>
      <c r="T40" s="260"/>
      <c r="U40" s="260"/>
      <c r="V40" s="264"/>
      <c r="W40" s="369">
        <v>28.36363636363636</v>
      </c>
      <c r="X40" s="260"/>
      <c r="Y40" s="260"/>
      <c r="Z40" s="260"/>
      <c r="AA40" s="260"/>
      <c r="AB40" s="260"/>
      <c r="AC40" s="260"/>
      <c r="AD40" s="260"/>
      <c r="AE40" s="264"/>
      <c r="AF40" s="264"/>
      <c r="AG40" s="263"/>
      <c r="AH40" s="260"/>
      <c r="AI40" s="264"/>
      <c r="AJ40" s="260"/>
      <c r="AK40" s="260"/>
      <c r="AL40" s="260"/>
      <c r="AM40" s="260"/>
      <c r="AN40" s="264"/>
      <c r="AO40" s="265"/>
      <c r="AP40" s="264"/>
      <c r="AQ40" s="370" t="s">
        <v>838</v>
      </c>
      <c r="AR40" s="262" t="s">
        <v>758</v>
      </c>
      <c r="AS40" s="262"/>
      <c r="AT40" s="262"/>
      <c r="AU40" s="262"/>
      <c r="AV40" s="262">
        <v>3</v>
      </c>
      <c r="AW40" s="262"/>
      <c r="AX40" s="262"/>
      <c r="AY40" s="262"/>
      <c r="AZ40" s="262" t="s">
        <v>762</v>
      </c>
      <c r="BA40" s="260"/>
      <c r="BB40" s="262">
        <v>0</v>
      </c>
      <c r="BC40" s="262">
        <v>0</v>
      </c>
      <c r="BD40" s="262">
        <v>0</v>
      </c>
      <c r="BE40" s="262">
        <v>0</v>
      </c>
      <c r="BF40" s="262">
        <v>0</v>
      </c>
      <c r="BG40" s="262">
        <v>0</v>
      </c>
      <c r="BH40" s="262">
        <v>0</v>
      </c>
      <c r="BI40" s="262">
        <v>0</v>
      </c>
      <c r="BJ40" s="262">
        <v>0</v>
      </c>
      <c r="BK40" s="262">
        <v>0</v>
      </c>
      <c r="BL40" s="262"/>
      <c r="BM40" s="262"/>
      <c r="BN40" s="262"/>
      <c r="BO40" s="262" t="s">
        <v>758</v>
      </c>
      <c r="BP40" s="371"/>
      <c r="BQ40" s="262"/>
      <c r="BR40" s="262"/>
      <c r="BS40" s="260"/>
      <c r="BT40" s="260"/>
      <c r="BU40" s="262"/>
      <c r="BV40" s="262" t="s">
        <v>758</v>
      </c>
      <c r="BW40" s="262">
        <v>1</v>
      </c>
      <c r="BX40" s="260"/>
      <c r="BY40" s="374" t="s">
        <v>905</v>
      </c>
    </row>
    <row r="41" spans="1:77" x14ac:dyDescent="0.15">
      <c r="A41" s="260">
        <v>592</v>
      </c>
      <c r="B41" s="368">
        <v>43383</v>
      </c>
      <c r="C41" s="261" t="s">
        <v>453</v>
      </c>
      <c r="D41" s="260" t="s">
        <v>454</v>
      </c>
      <c r="E41" s="260"/>
      <c r="F41" s="260" t="s">
        <v>507</v>
      </c>
      <c r="G41" s="270">
        <v>43312</v>
      </c>
      <c r="H41" s="262" t="s">
        <v>456</v>
      </c>
      <c r="I41" s="262" t="s">
        <v>457</v>
      </c>
      <c r="J41" s="262">
        <v>10</v>
      </c>
      <c r="K41" s="260" t="s">
        <v>875</v>
      </c>
      <c r="L41" s="260" t="s">
        <v>595</v>
      </c>
      <c r="M41" s="369">
        <v>73.636363636363626</v>
      </c>
      <c r="N41" s="369">
        <v>35.909090909090907</v>
      </c>
      <c r="O41" s="260"/>
      <c r="P41" s="263"/>
      <c r="Q41" s="264"/>
      <c r="R41" s="263"/>
      <c r="S41" s="264"/>
      <c r="T41" s="263"/>
      <c r="U41" s="260"/>
      <c r="V41" s="264"/>
      <c r="W41" s="369">
        <v>24.999999999999996</v>
      </c>
      <c r="X41" s="263"/>
      <c r="Y41" s="260"/>
      <c r="Z41" s="263"/>
      <c r="AA41" s="260"/>
      <c r="AB41" s="263"/>
      <c r="AC41" s="260"/>
      <c r="AD41" s="260"/>
      <c r="AE41" s="264"/>
      <c r="AF41" s="264"/>
      <c r="AG41" s="263"/>
      <c r="AH41" s="260"/>
      <c r="AI41" s="264"/>
      <c r="AJ41" s="260"/>
      <c r="AK41" s="260"/>
      <c r="AL41" s="260"/>
      <c r="AM41" s="260"/>
      <c r="AN41" s="264"/>
      <c r="AO41" s="265"/>
      <c r="AP41" s="264"/>
      <c r="AQ41" s="370" t="s">
        <v>508</v>
      </c>
      <c r="AR41" s="262" t="s">
        <v>457</v>
      </c>
      <c r="AS41" s="262"/>
      <c r="AT41" s="262"/>
      <c r="AU41" s="262"/>
      <c r="AV41" s="262">
        <v>9</v>
      </c>
      <c r="AW41" s="262" t="s">
        <v>876</v>
      </c>
      <c r="AX41" s="262">
        <v>6.5</v>
      </c>
      <c r="AY41" s="262">
        <v>6.5</v>
      </c>
      <c r="AZ41" s="262" t="s">
        <v>462</v>
      </c>
      <c r="BA41" s="260"/>
      <c r="BB41" s="262">
        <v>0</v>
      </c>
      <c r="BC41" s="262">
        <v>0</v>
      </c>
      <c r="BD41" s="262">
        <v>0</v>
      </c>
      <c r="BE41" s="262">
        <v>0</v>
      </c>
      <c r="BF41" s="262">
        <v>0</v>
      </c>
      <c r="BG41" s="262">
        <v>0</v>
      </c>
      <c r="BH41" s="262">
        <v>0</v>
      </c>
      <c r="BI41" s="262">
        <v>0</v>
      </c>
      <c r="BJ41" s="262">
        <v>0</v>
      </c>
      <c r="BK41" s="262">
        <v>0</v>
      </c>
      <c r="BL41" s="262"/>
      <c r="BM41" s="262"/>
      <c r="BN41" s="262"/>
      <c r="BO41" s="262" t="s">
        <v>457</v>
      </c>
      <c r="BP41" s="375">
        <v>163.58181818181816</v>
      </c>
      <c r="BQ41" s="262"/>
      <c r="BR41" s="373"/>
      <c r="BS41" s="266"/>
      <c r="BT41" s="266"/>
      <c r="BU41" s="266"/>
      <c r="BV41" s="262" t="s">
        <v>457</v>
      </c>
      <c r="BW41" s="262"/>
      <c r="BX41" s="260"/>
      <c r="BY41" s="260" t="s">
        <v>906</v>
      </c>
    </row>
    <row r="42" spans="1:77" x14ac:dyDescent="0.15">
      <c r="A42" s="260">
        <v>2034</v>
      </c>
      <c r="B42" s="368">
        <v>43383</v>
      </c>
      <c r="C42" s="261" t="s">
        <v>191</v>
      </c>
      <c r="D42" s="260" t="s">
        <v>454</v>
      </c>
      <c r="E42" s="260"/>
      <c r="F42" s="260" t="s">
        <v>176</v>
      </c>
      <c r="G42" s="270">
        <v>43273</v>
      </c>
      <c r="H42" s="262" t="s">
        <v>863</v>
      </c>
      <c r="I42" s="262" t="s">
        <v>864</v>
      </c>
      <c r="J42" s="262">
        <v>11</v>
      </c>
      <c r="K42" s="260" t="s">
        <v>691</v>
      </c>
      <c r="L42" s="260" t="s">
        <v>791</v>
      </c>
      <c r="M42" s="369">
        <v>128.49090909090907</v>
      </c>
      <c r="N42" s="369">
        <v>48.43636363636363</v>
      </c>
      <c r="O42" s="260"/>
      <c r="P42" s="263"/>
      <c r="Q42" s="264"/>
      <c r="R42" s="263"/>
      <c r="S42" s="264"/>
      <c r="T42" s="263"/>
      <c r="U42" s="260"/>
      <c r="V42" s="264"/>
      <c r="W42" s="369">
        <v>33.6</v>
      </c>
      <c r="X42" s="260"/>
      <c r="Y42" s="260"/>
      <c r="Z42" s="260"/>
      <c r="AA42" s="260"/>
      <c r="AB42" s="260"/>
      <c r="AC42" s="260"/>
      <c r="AD42" s="260"/>
      <c r="AE42" s="264"/>
      <c r="AF42" s="264"/>
      <c r="AG42" s="260"/>
      <c r="AH42" s="260"/>
      <c r="AI42" s="264"/>
      <c r="AJ42" s="260"/>
      <c r="AK42" s="260"/>
      <c r="AL42" s="260"/>
      <c r="AM42" s="260"/>
      <c r="AN42" s="264"/>
      <c r="AO42" s="265"/>
      <c r="AP42" s="264"/>
      <c r="AQ42" s="260" t="s">
        <v>89</v>
      </c>
      <c r="AR42" s="262" t="s">
        <v>153</v>
      </c>
      <c r="AS42" s="262"/>
      <c r="AT42" s="262"/>
      <c r="AU42" s="262"/>
      <c r="AV42" s="262"/>
      <c r="AW42" s="262"/>
      <c r="AX42" s="262"/>
      <c r="AY42" s="262"/>
      <c r="AZ42" s="262" t="s">
        <v>869</v>
      </c>
      <c r="BA42" s="260"/>
      <c r="BB42" s="262">
        <v>0</v>
      </c>
      <c r="BC42" s="262">
        <v>0</v>
      </c>
      <c r="BD42" s="262">
        <v>0</v>
      </c>
      <c r="BE42" s="262">
        <v>0</v>
      </c>
      <c r="BF42" s="262">
        <v>0</v>
      </c>
      <c r="BG42" s="262">
        <v>0</v>
      </c>
      <c r="BH42" s="262">
        <v>0</v>
      </c>
      <c r="BI42" s="262">
        <v>0</v>
      </c>
      <c r="BJ42" s="262">
        <v>0</v>
      </c>
      <c r="BK42" s="262">
        <v>0</v>
      </c>
      <c r="BL42" s="262"/>
      <c r="BM42" s="262"/>
      <c r="BN42" s="262"/>
      <c r="BO42" s="262" t="s">
        <v>153</v>
      </c>
      <c r="BP42" s="371"/>
      <c r="BQ42" s="262"/>
      <c r="BR42" s="262"/>
      <c r="BS42" s="266"/>
      <c r="BT42" s="266"/>
      <c r="BU42" s="262"/>
      <c r="BV42" s="262" t="s">
        <v>153</v>
      </c>
      <c r="BW42" s="262">
        <v>1</v>
      </c>
      <c r="BX42" s="260"/>
      <c r="BY42" s="260" t="s">
        <v>76</v>
      </c>
    </row>
    <row r="43" spans="1:77" x14ac:dyDescent="0.15">
      <c r="A43" s="260">
        <v>2101</v>
      </c>
      <c r="B43" s="368">
        <v>43383</v>
      </c>
      <c r="C43" s="261" t="s">
        <v>755</v>
      </c>
      <c r="D43" s="260" t="s">
        <v>454</v>
      </c>
      <c r="E43" s="260"/>
      <c r="F43" s="260" t="s">
        <v>406</v>
      </c>
      <c r="G43" s="267">
        <v>43350</v>
      </c>
      <c r="H43" s="262" t="s">
        <v>175</v>
      </c>
      <c r="I43" s="262" t="s">
        <v>174</v>
      </c>
      <c r="J43" s="262">
        <v>12</v>
      </c>
      <c r="K43" s="260" t="s">
        <v>794</v>
      </c>
      <c r="L43" s="260" t="s">
        <v>734</v>
      </c>
      <c r="M43" s="369">
        <v>99</v>
      </c>
      <c r="N43" s="369">
        <v>55.68181818181818</v>
      </c>
      <c r="O43" s="260"/>
      <c r="P43" s="263"/>
      <c r="Q43" s="264"/>
      <c r="R43" s="263"/>
      <c r="S43" s="264"/>
      <c r="T43" s="263"/>
      <c r="U43" s="260"/>
      <c r="V43" s="264"/>
      <c r="W43" s="369">
        <v>37.627272727272725</v>
      </c>
      <c r="X43" s="260"/>
      <c r="Y43" s="260"/>
      <c r="Z43" s="260"/>
      <c r="AA43" s="260"/>
      <c r="AB43" s="260"/>
      <c r="AC43" s="260"/>
      <c r="AD43" s="260"/>
      <c r="AE43" s="264"/>
      <c r="AF43" s="264"/>
      <c r="AG43" s="263"/>
      <c r="AH43" s="260"/>
      <c r="AI43" s="264"/>
      <c r="AJ43" s="260"/>
      <c r="AK43" s="260"/>
      <c r="AL43" s="260"/>
      <c r="AM43" s="260"/>
      <c r="AN43" s="264"/>
      <c r="AO43" s="265"/>
      <c r="AP43" s="264"/>
      <c r="AQ43" s="260" t="s">
        <v>838</v>
      </c>
      <c r="AR43" s="262" t="s">
        <v>758</v>
      </c>
      <c r="AS43" s="262"/>
      <c r="AT43" s="262"/>
      <c r="AU43" s="262"/>
      <c r="AV43" s="262"/>
      <c r="AW43" s="262"/>
      <c r="AX43" s="262"/>
      <c r="AY43" s="262"/>
      <c r="AZ43" s="262" t="s">
        <v>758</v>
      </c>
      <c r="BA43" s="260"/>
      <c r="BB43" s="262">
        <v>0</v>
      </c>
      <c r="BC43" s="262">
        <v>5</v>
      </c>
      <c r="BD43" s="262">
        <v>0</v>
      </c>
      <c r="BE43" s="262">
        <v>0</v>
      </c>
      <c r="BF43" s="262">
        <v>0</v>
      </c>
      <c r="BG43" s="262">
        <v>0</v>
      </c>
      <c r="BH43" s="262">
        <v>0</v>
      </c>
      <c r="BI43" s="262">
        <v>0</v>
      </c>
      <c r="BJ43" s="262">
        <v>0</v>
      </c>
      <c r="BK43" s="262">
        <v>0</v>
      </c>
      <c r="BL43" s="262"/>
      <c r="BM43" s="262"/>
      <c r="BN43" s="262"/>
      <c r="BO43" s="262" t="s">
        <v>758</v>
      </c>
      <c r="BP43" s="371"/>
      <c r="BQ43" s="262"/>
      <c r="BR43" s="262"/>
      <c r="BS43" s="266" t="s">
        <v>878</v>
      </c>
      <c r="BT43" s="266" t="s">
        <v>195</v>
      </c>
      <c r="BU43" s="262">
        <v>50</v>
      </c>
      <c r="BV43" s="262" t="s">
        <v>758</v>
      </c>
      <c r="BW43" s="262"/>
      <c r="BX43" s="266" t="s">
        <v>879</v>
      </c>
      <c r="BY43" s="260" t="s">
        <v>907</v>
      </c>
    </row>
    <row r="44" spans="1:77" x14ac:dyDescent="0.15">
      <c r="A44" s="260">
        <v>1919</v>
      </c>
      <c r="B44" s="368">
        <v>43383</v>
      </c>
      <c r="C44" s="261" t="s">
        <v>191</v>
      </c>
      <c r="D44" s="260" t="s">
        <v>454</v>
      </c>
      <c r="E44" s="260"/>
      <c r="F44" s="260" t="s">
        <v>176</v>
      </c>
      <c r="G44" s="267">
        <v>43270</v>
      </c>
      <c r="H44" s="262" t="s">
        <v>150</v>
      </c>
      <c r="I44" s="262" t="s">
        <v>153</v>
      </c>
      <c r="J44" s="262">
        <v>13</v>
      </c>
      <c r="K44" s="260" t="s">
        <v>881</v>
      </c>
      <c r="L44" s="260" t="s">
        <v>797</v>
      </c>
      <c r="M44" s="369">
        <v>114.99999999999999</v>
      </c>
      <c r="N44" s="369">
        <v>33.5</v>
      </c>
      <c r="O44" s="260"/>
      <c r="P44" s="263"/>
      <c r="Q44" s="264"/>
      <c r="R44" s="263"/>
      <c r="S44" s="264"/>
      <c r="T44" s="263"/>
      <c r="U44" s="260"/>
      <c r="V44" s="264"/>
      <c r="W44" s="369">
        <v>22.4</v>
      </c>
      <c r="X44" s="260"/>
      <c r="Y44" s="260"/>
      <c r="Z44" s="260"/>
      <c r="AA44" s="260"/>
      <c r="AB44" s="260"/>
      <c r="AC44" s="260"/>
      <c r="AD44" s="260"/>
      <c r="AE44" s="264"/>
      <c r="AF44" s="264"/>
      <c r="AG44" s="260"/>
      <c r="AH44" s="260"/>
      <c r="AI44" s="264"/>
      <c r="AJ44" s="260"/>
      <c r="AK44" s="260"/>
      <c r="AL44" s="260"/>
      <c r="AM44" s="260"/>
      <c r="AN44" s="264"/>
      <c r="AO44" s="265"/>
      <c r="AP44" s="264"/>
      <c r="AQ44" s="260" t="s">
        <v>89</v>
      </c>
      <c r="AR44" s="262" t="s">
        <v>153</v>
      </c>
      <c r="AS44" s="262"/>
      <c r="AT44" s="262"/>
      <c r="AU44" s="262"/>
      <c r="AV44" s="262">
        <v>8</v>
      </c>
      <c r="AW44" s="262"/>
      <c r="AX44" s="262"/>
      <c r="AY44" s="262"/>
      <c r="AZ44" s="262" t="s">
        <v>153</v>
      </c>
      <c r="BA44" s="260"/>
      <c r="BB44" s="262">
        <v>0</v>
      </c>
      <c r="BC44" s="262">
        <v>0</v>
      </c>
      <c r="BD44" s="262">
        <v>0</v>
      </c>
      <c r="BE44" s="262">
        <v>0</v>
      </c>
      <c r="BF44" s="262">
        <v>0</v>
      </c>
      <c r="BG44" s="262">
        <v>0</v>
      </c>
      <c r="BH44" s="262">
        <v>0</v>
      </c>
      <c r="BI44" s="262">
        <v>0</v>
      </c>
      <c r="BJ44" s="262">
        <v>0</v>
      </c>
      <c r="BK44" s="262">
        <v>0</v>
      </c>
      <c r="BL44" s="262"/>
      <c r="BM44" s="262"/>
      <c r="BN44" s="262"/>
      <c r="BO44" s="262" t="s">
        <v>153</v>
      </c>
      <c r="BP44" s="371"/>
      <c r="BQ44" s="262"/>
      <c r="BR44" s="262"/>
      <c r="BS44" s="266"/>
      <c r="BT44" s="266"/>
      <c r="BU44" s="262"/>
      <c r="BV44" s="262" t="s">
        <v>153</v>
      </c>
      <c r="BW44" s="262">
        <v>1</v>
      </c>
      <c r="BX44" s="260"/>
      <c r="BY44" s="260" t="s">
        <v>908</v>
      </c>
    </row>
  </sheetData>
  <sheetProtection algorithmName="SHA-512" hashValue="jA65a/otwK91UNtvRLAUsf5SvoLMYuKMwztECcaK//y7EPtDwFBpvNlTfC+/8/iaXSB1uI1R43wN02LgSoKGFg==" saltValue="fXsIDpPQxHBQO/WXlaZaUQ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CD89C-85D7-7441-BE79-3A8C7E1BDCEE}">
  <sheetPr codeName="Sheet30">
    <tabColor theme="8" tint="0.59999389629810485"/>
  </sheetPr>
  <dimension ref="A1:AP95"/>
  <sheetViews>
    <sheetView tabSelected="1" zoomScaleNormal="100" zoomScalePageLayoutView="125" workbookViewId="0">
      <selection activeCell="B2" sqref="B2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2" ht="14" x14ac:dyDescent="0.15">
      <c r="A1" s="383" t="s">
        <v>31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</row>
    <row r="2" spans="1:42" ht="14" x14ac:dyDescent="0.15">
      <c r="A2" s="384" t="s">
        <v>236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</row>
    <row r="3" spans="1:42" ht="15" thickBot="1" x14ac:dyDescent="0.2">
      <c r="A3" s="383"/>
      <c r="B3" s="383"/>
      <c r="C3" s="383"/>
      <c r="D3" s="383"/>
      <c r="E3" s="383"/>
      <c r="F3" s="383"/>
      <c r="G3" s="385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</row>
    <row r="4" spans="1:42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9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</row>
    <row r="5" spans="1:42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41"/>
      <c r="W5" s="383"/>
      <c r="X5" s="383"/>
      <c r="Y5" s="383"/>
      <c r="Z5" s="383"/>
      <c r="AA5" s="383"/>
      <c r="AB5" s="383"/>
      <c r="AC5" s="383"/>
      <c r="AD5" s="383"/>
      <c r="AE5" s="383"/>
      <c r="AF5" s="383"/>
      <c r="AG5" s="383"/>
      <c r="AH5" s="383"/>
      <c r="AI5" s="383"/>
      <c r="AJ5" s="383"/>
      <c r="AK5" s="383"/>
      <c r="AL5" s="383"/>
      <c r="AM5" s="383"/>
      <c r="AN5" s="383"/>
      <c r="AO5" s="383"/>
      <c r="AP5" s="383"/>
    </row>
    <row r="6" spans="1:42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41"/>
      <c r="W6" s="383"/>
      <c r="X6" s="383"/>
      <c r="Y6" s="383"/>
      <c r="Z6" s="383"/>
      <c r="AA6" s="383"/>
      <c r="AB6" s="383"/>
      <c r="AC6" s="383"/>
      <c r="AD6" s="383"/>
      <c r="AE6" s="383"/>
      <c r="AF6" s="383"/>
      <c r="AG6" s="383"/>
      <c r="AH6" s="383"/>
      <c r="AI6" s="383"/>
      <c r="AJ6" s="383"/>
      <c r="AK6" s="383"/>
      <c r="AL6" s="383"/>
      <c r="AM6" s="383"/>
      <c r="AN6" s="383"/>
      <c r="AO6" s="383"/>
      <c r="AP6" s="383"/>
    </row>
    <row r="7" spans="1:42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380" t="s">
        <v>272</v>
      </c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3"/>
      <c r="AL7" s="383"/>
      <c r="AM7" s="383"/>
      <c r="AN7" s="383"/>
      <c r="AO7" s="383"/>
      <c r="AP7" s="383"/>
    </row>
    <row r="8" spans="1:42" ht="14" x14ac:dyDescent="0.15">
      <c r="A8" s="70" t="str">
        <f>'SA Oct 2023'!K2</f>
        <v>AGL</v>
      </c>
      <c r="B8" s="49" t="str">
        <f>'SA Oct 2023'!L2</f>
        <v>Business Value Saver</v>
      </c>
      <c r="C8" s="46">
        <f>IF('SA Oct 2023'!BP2=0,91*'SA Oct 2023'!M2/100,(91*'SA Oct 2023'!M2/100)+'SA Oct 2023'!BP2/4)</f>
        <v>101.65527272727272</v>
      </c>
      <c r="D8" s="46">
        <f>IF('SA Oct 2023'!O2="",$C$5*'SA Oct 2023'!N2/100,IF($C$5&gt;='SA Oct 2023'!P2,('SA Oct 2023'!P2*'SA Oct 2023'!N2/100),($C$5*'SA Oct 2023'!N2/100)))</f>
        <v>2288.181818181818</v>
      </c>
      <c r="E8" s="46">
        <f>IF(AND('SA Oct 2023'!P2&gt;0,'SA Oct 2023'!R2&gt;0),IF($C$5&lt;'SA Oct 2023'!P2,0,IF($C$5&lt;=('SA Oct 2023'!R2+'SA Oct 2023'!P2),(($C$5-'SA Oct 2023'!P2)*'SA Oct 2023'!Q2/100),(('SA Oct 2023'!R2)*'SA Oct 2023'!Q2/100))),0)</f>
        <v>0</v>
      </c>
      <c r="F8" s="46">
        <f>IF(AND('SA Oct 2023'!Q2&gt;0,'SA Oct 2023'!S2&gt;0),IF($C$5&lt;('SA Oct 2023'!R2+'SA Oct 2023'!P2),0,IF($C$5&lt;=('SA Oct 2023'!T2+'SA Oct 2023'!R2+'SA Oct 2023'!P2),(($C$5-('SA Oct 2023'!R2+'SA Oct 2023'!P2))*'SA Oct 2023'!S2/100),('SA Oct 2023'!T2*'SA Oct 2023'!S2/100))),0)</f>
        <v>0</v>
      </c>
      <c r="G8" s="50">
        <v>0</v>
      </c>
      <c r="H8" s="46">
        <f>IF(AND('SA Oct 2023'!R2&gt;0,'SA Oct 2023'!T2&gt;0),IF(($C$5&lt;'SA Oct 2023'!T2),(0),($C$5-'SA Oct 2023'!T2)*'SA Oct 2023'!U2/100),IF(AND('SA Oct 2023'!R2&gt;0,'SA Oct 2023'!T2=""),IF(($C$5&lt;'SA Oct 2023'!R2+'SA Oct 2023'!P2),(0),(($C$5-('SA Oct 2023'!R2+'SA Oct 2023'!P2))*'SA Oct 2023'!S2/100)),IF(AND('SA Oct 2023'!P2&gt;0,'SA Oct 2023'!R2=""&gt;0),IF(($C$5&lt;'SA Oct 2023'!P2),(0),($C$5-'SA Oct 2023'!P2)*'SA Oct 2023'!Q2/100),0)))</f>
        <v>0</v>
      </c>
      <c r="I8" s="52">
        <f>SUM(C8:H8)</f>
        <v>2389.8370909090909</v>
      </c>
      <c r="J8" s="109">
        <f>(I8-C8)*4</f>
        <v>9152.7272727272721</v>
      </c>
      <c r="K8" s="109">
        <f t="shared" ref="K8:K23" si="0">I8*4</f>
        <v>9559.3483636363635</v>
      </c>
      <c r="L8" s="53">
        <f>K8*1.1</f>
        <v>10515.2832</v>
      </c>
      <c r="M8" s="54">
        <f>'SA Oct 2023'!BB2</f>
        <v>0</v>
      </c>
      <c r="N8" s="54">
        <f>'SA Oct 2023'!BC2</f>
        <v>0</v>
      </c>
      <c r="O8" s="54">
        <f>'SA Oct 2023'!BD2</f>
        <v>0</v>
      </c>
      <c r="P8" s="54">
        <f>'SA Oct 2023'!BE2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3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9559.3483636363635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9559.3483636363635</v>
      </c>
      <c r="U8" s="97">
        <f>S8*1.1</f>
        <v>10515.2832</v>
      </c>
      <c r="V8" s="381">
        <f>T8*1.1</f>
        <v>10515.2832</v>
      </c>
      <c r="W8" s="383"/>
      <c r="X8" s="383"/>
      <c r="Y8" s="383"/>
      <c r="Z8" s="383"/>
      <c r="AA8" s="383"/>
      <c r="AB8" s="383"/>
      <c r="AC8" s="383"/>
      <c r="AD8" s="383"/>
      <c r="AE8" s="383"/>
      <c r="AF8" s="383"/>
      <c r="AG8" s="383"/>
      <c r="AH8" s="383"/>
      <c r="AI8" s="383"/>
      <c r="AJ8" s="383"/>
      <c r="AK8" s="383"/>
      <c r="AL8" s="383"/>
      <c r="AM8" s="383"/>
      <c r="AN8" s="383"/>
      <c r="AO8" s="383"/>
      <c r="AP8" s="383"/>
    </row>
    <row r="9" spans="1:42" ht="14" x14ac:dyDescent="0.15">
      <c r="A9" s="70" t="str">
        <f>'SA Oct 2023'!K3</f>
        <v>Alinta Energy</v>
      </c>
      <c r="B9" s="49" t="str">
        <f>'SA Oct 2023'!L3</f>
        <v>BusinessDeal</v>
      </c>
      <c r="C9" s="46">
        <f>IF('SA Oct 2023'!BP3=0,91*'SA Oct 2023'!M3/100,(91*'SA Oct 2023'!M3/100)+'SA Oct 2023'!BP3/4)</f>
        <v>103.53318181818182</v>
      </c>
      <c r="D9" s="46">
        <f>IF('SA Oct 2023'!O3="",$C$5*'SA Oct 2023'!N3/100,IF($C$5&gt;='SA Oct 2023'!P3,('SA Oct 2023'!P3*'SA Oct 2023'!N3/100),($C$5*'SA Oct 2023'!N3/100)))</f>
        <v>2443.6363636363631</v>
      </c>
      <c r="E9" s="46">
        <f>IF(AND('SA Oct 2023'!P3&gt;0,'SA Oct 2023'!R3&gt;0),IF($C$5&lt;'SA Oct 2023'!P3,0,IF($C$5&lt;=('SA Oct 2023'!R3+'SA Oct 2023'!P3),(($C$5-'SA Oct 2023'!P3)*'SA Oct 2023'!Q3/100),(('SA Oct 2023'!R3)*'SA Oct 2023'!Q3/100))),0)</f>
        <v>0</v>
      </c>
      <c r="F9" s="46">
        <f>IF(AND('SA Oct 2023'!Q3&gt;0,'SA Oct 2023'!S3&gt;0),IF($C$5&lt;('SA Oct 2023'!R3+'SA Oct 2023'!P3),0,IF($C$5&lt;=('SA Oct 2023'!T3+'SA Oct 2023'!R3+'SA Oct 2023'!P3),(($C$5-('SA Oct 2023'!R3+'SA Oct 2023'!P3))*'SA Oct 2023'!S3/100),('SA Oct 2023'!T3*'SA Oct 2023'!S3/100))),0)</f>
        <v>0</v>
      </c>
      <c r="G9" s="50">
        <v>0</v>
      </c>
      <c r="H9" s="46">
        <f>IF(AND('SA Oct 2023'!R3&gt;0,'SA Oct 2023'!T3&gt;0),IF(($C$5&lt;'SA Oct 2023'!T3),(0),($C$5-'SA Oct 2023'!T3)*'SA Oct 2023'!U3/100),IF(AND('SA Oct 2023'!R3&gt;0,'SA Oct 2023'!T3=""),IF(($C$5&lt;'SA Oct 2023'!R3+'SA Oct 2023'!P3),(0),(($C$5-('SA Oct 2023'!R3+'SA Oct 2023'!P3))*'SA Oct 2023'!S3/100)),IF(AND('SA Oct 2023'!P3&gt;0,'SA Oct 2023'!R3=""&gt;0),IF(($C$5&lt;'SA Oct 2023'!P3),(0),($C$5-'SA Oct 2023'!P3)*'SA Oct 2023'!Q3/100),0)))</f>
        <v>0</v>
      </c>
      <c r="I9" s="52">
        <f t="shared" ref="I9:I11" si="2">SUM(C9:H9)</f>
        <v>2547.1695454545447</v>
      </c>
      <c r="J9" s="109">
        <f t="shared" ref="J9:J23" si="3">(I9-C9)*4</f>
        <v>9774.5454545454522</v>
      </c>
      <c r="K9" s="109">
        <f t="shared" si="0"/>
        <v>10188.678181818179</v>
      </c>
      <c r="L9" s="53">
        <f t="shared" ref="L9:L23" si="4">K9*1.1</f>
        <v>11207.545999999998</v>
      </c>
      <c r="M9" s="54">
        <f>'SA Oct 2023'!BB3</f>
        <v>0</v>
      </c>
      <c r="N9" s="54">
        <f>'SA Oct 2023'!BC3</f>
        <v>0</v>
      </c>
      <c r="O9" s="54">
        <f>'SA Oct 2023'!BD3</f>
        <v>0</v>
      </c>
      <c r="P9" s="54">
        <f>'SA Oct 2023'!BE3</f>
        <v>0</v>
      </c>
      <c r="Q9" s="110" t="str">
        <f t="shared" ref="Q9:Q23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10188.678181818179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10188.678181818179</v>
      </c>
      <c r="U9" s="97">
        <f t="shared" ref="U9:V23" si="6">S9*1.1</f>
        <v>11207.545999999998</v>
      </c>
      <c r="V9" s="381">
        <f t="shared" si="6"/>
        <v>11207.545999999998</v>
      </c>
      <c r="W9" s="383"/>
      <c r="X9" s="383"/>
      <c r="Y9" s="383"/>
      <c r="Z9" s="383"/>
      <c r="AA9" s="383"/>
      <c r="AB9" s="383"/>
      <c r="AC9" s="383"/>
      <c r="AD9" s="383"/>
      <c r="AE9" s="383"/>
      <c r="AF9" s="383"/>
      <c r="AG9" s="383"/>
      <c r="AH9" s="383"/>
      <c r="AI9" s="383"/>
      <c r="AJ9" s="383"/>
      <c r="AK9" s="383"/>
      <c r="AL9" s="383"/>
      <c r="AM9" s="383"/>
      <c r="AN9" s="383"/>
      <c r="AO9" s="383"/>
      <c r="AP9" s="383"/>
    </row>
    <row r="10" spans="1:42" ht="14" x14ac:dyDescent="0.15">
      <c r="A10" s="70" t="str">
        <f>'SA Oct 2023'!K4</f>
        <v>Diamond Energy</v>
      </c>
      <c r="B10" s="49" t="str">
        <f>'SA Oct 2023'!L4</f>
        <v xml:space="preserve">Renewable Saver </v>
      </c>
      <c r="C10" s="46">
        <f>IF('SA Oct 2023'!BP4=0,91*'SA Oct 2023'!M4/100,(91*'SA Oct 2023'!M4/100)+'SA Oct 2023'!BP4/4)</f>
        <v>85.995000000000005</v>
      </c>
      <c r="D10" s="46">
        <f>IF('SA Oct 2023'!O4="",$C$5*'SA Oct 2023'!N4/100,IF($C$5&gt;='SA Oct 2023'!P4,('SA Oct 2023'!P4*'SA Oct 2023'!N4/100),($C$5*'SA Oct 2023'!N4/100)))</f>
        <v>485</v>
      </c>
      <c r="E10" s="46">
        <f>IF(AND('SA Oct 2023'!P4&gt;0,'SA Oct 2023'!R4&gt;0),IF($C$5&lt;'SA Oct 2023'!P4,0,IF($C$5&lt;=('SA Oct 2023'!R4+'SA Oct 2023'!P4),(($C$5-'SA Oct 2023'!P4)*'SA Oct 2023'!Q4/100),(('SA Oct 2023'!R4)*'SA Oct 2023'!Q4/100))),0)</f>
        <v>0</v>
      </c>
      <c r="F10" s="46">
        <f>IF(AND('SA Oct 2023'!Q4&gt;0,'SA Oct 2023'!S4&gt;0),IF($C$5&lt;('SA Oct 2023'!R4+'SA Oct 2023'!P4),0,IF($C$5&lt;=('SA Oct 2023'!T4+'SA Oct 2023'!R4+'SA Oct 2023'!P4),(($C$5-('SA Oct 2023'!R4+'SA Oct 2023'!P4))*'SA Oct 2023'!S4/100),('SA Oct 2023'!T4*'SA Oct 2023'!S4/100))),0)</f>
        <v>0</v>
      </c>
      <c r="G10" s="50">
        <v>0</v>
      </c>
      <c r="H10" s="46">
        <f>IF(AND('SA Oct 2023'!R4&gt;0,'SA Oct 2023'!T4&gt;0),IF(($C$5&lt;'SA Oct 2023'!T4),(0),($C$5-'SA Oct 2023'!T4)*'SA Oct 2023'!U4/100),IF(AND('SA Oct 2023'!R4&gt;0,'SA Oct 2023'!T4=""),IF(($C$5&lt;'SA Oct 2023'!R4+'SA Oct 2023'!P4),(0),(($C$5-('SA Oct 2023'!R4+'SA Oct 2023'!P4))*'SA Oct 2023'!S4/100)),IF(AND('SA Oct 2023'!P4&gt;0,'SA Oct 2023'!R4=""&gt;0),IF(($C$5&lt;'SA Oct 2023'!P4),(0),($C$5-'SA Oct 2023'!P4)*'SA Oct 2023'!Q4/100),0)))</f>
        <v>2018.1818181818182</v>
      </c>
      <c r="I10" s="52">
        <f t="shared" si="2"/>
        <v>2589.1768181818184</v>
      </c>
      <c r="J10" s="109">
        <f t="shared" si="3"/>
        <v>10012.727272727274</v>
      </c>
      <c r="K10" s="109">
        <f t="shared" si="0"/>
        <v>10356.707272727273</v>
      </c>
      <c r="L10" s="53">
        <f t="shared" si="4"/>
        <v>11392.378000000002</v>
      </c>
      <c r="M10" s="54">
        <f>'SA Oct 2023'!BB4</f>
        <v>0</v>
      </c>
      <c r="N10" s="54">
        <f>'SA Oct 2023'!BC4</f>
        <v>0</v>
      </c>
      <c r="O10" s="54">
        <f>'SA Oct 2023'!BD4</f>
        <v>2</v>
      </c>
      <c r="P10" s="54">
        <f>'SA Oct 2023'!BE4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3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10356.707272727273</v>
      </c>
      <c r="T10" s="112">
        <f t="shared" ref="T10:T19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10149.573127272728</v>
      </c>
      <c r="U10" s="97">
        <f t="shared" si="6"/>
        <v>11392.378000000002</v>
      </c>
      <c r="V10" s="381">
        <f t="shared" si="6"/>
        <v>11164.530440000002</v>
      </c>
      <c r="W10" s="383"/>
      <c r="X10" s="383"/>
      <c r="Y10" s="383"/>
      <c r="Z10" s="383"/>
      <c r="AA10" s="383"/>
      <c r="AB10" s="383"/>
      <c r="AC10" s="383"/>
      <c r="AD10" s="383"/>
      <c r="AE10" s="383"/>
      <c r="AF10" s="383"/>
      <c r="AG10" s="383"/>
      <c r="AH10" s="383"/>
      <c r="AI10" s="383"/>
      <c r="AJ10" s="383"/>
      <c r="AK10" s="383"/>
      <c r="AL10" s="383"/>
      <c r="AM10" s="383"/>
      <c r="AN10" s="383"/>
      <c r="AO10" s="383"/>
      <c r="AP10" s="383"/>
    </row>
    <row r="11" spans="1:42" ht="14" x14ac:dyDescent="0.15">
      <c r="A11" s="70" t="str">
        <f>'SA Oct 2023'!K5</f>
        <v>EnergyAustralia</v>
      </c>
      <c r="B11" s="49" t="str">
        <f>'SA Oct 2023'!L5</f>
        <v>Balance Plan</v>
      </c>
      <c r="C11" s="46">
        <f>IF('SA Oct 2023'!BP5=0,91*'SA Oct 2023'!M5/100,(91*'SA Oct 2023'!M5/100)+'SA Oct 2023'!BP5/4)</f>
        <v>105.65099999999998</v>
      </c>
      <c r="D11" s="46">
        <f>IF('SA Oct 2023'!O5="",$C$5*'SA Oct 2023'!N5/100,IF($C$5&gt;='SA Oct 2023'!P5,('SA Oct 2023'!P5*'SA Oct 2023'!N5/100),($C$5*'SA Oct 2023'!N5/100)))</f>
        <v>2439.5454545454545</v>
      </c>
      <c r="E11" s="46">
        <f>IF(AND('SA Oct 2023'!P5&gt;0,'SA Oct 2023'!R5&gt;0),IF($C$5&lt;'SA Oct 2023'!P5,0,IF($C$5&lt;=('SA Oct 2023'!R5+'SA Oct 2023'!P5),(($C$5-'SA Oct 2023'!P5)*'SA Oct 2023'!Q5/100),(('SA Oct 2023'!R5)*'SA Oct 2023'!Q5/100))),0)</f>
        <v>0</v>
      </c>
      <c r="F11" s="46">
        <f>IF(AND('SA Oct 2023'!Q5&gt;0,'SA Oct 2023'!S5&gt;0),IF($C$5&lt;('SA Oct 2023'!R5+'SA Oct 2023'!P5),0,IF($C$5&lt;=('SA Oct 2023'!T5+'SA Oct 2023'!R5+'SA Oct 2023'!P5),(($C$5-('SA Oct 2023'!R5+'SA Oct 2023'!P5))*'SA Oct 2023'!S5/100),('SA Oct 2023'!T5*'SA Oct 2023'!S5/100))),0)</f>
        <v>0</v>
      </c>
      <c r="G11" s="50">
        <v>0</v>
      </c>
      <c r="H11" s="46">
        <f>IF(AND('SA Oct 2023'!R5&gt;0,'SA Oct 2023'!T5&gt;0),IF(($C$5&lt;'SA Oct 2023'!T5),(0),($C$5-'SA Oct 2023'!T5)*'SA Oct 2023'!U5/100),IF(AND('SA Oct 2023'!R5&gt;0,'SA Oct 2023'!T5=""),IF(($C$5&lt;'SA Oct 2023'!R5+'SA Oct 2023'!P5),(0),(($C$5-('SA Oct 2023'!R5+'SA Oct 2023'!P5))*'SA Oct 2023'!S5/100)),IF(AND('SA Oct 2023'!P5&gt;0,'SA Oct 2023'!R5=""&gt;0),IF(($C$5&lt;'SA Oct 2023'!P5),(0),($C$5-'SA Oct 2023'!P5)*'SA Oct 2023'!Q5/100),0)))</f>
        <v>0</v>
      </c>
      <c r="I11" s="52">
        <f t="shared" si="2"/>
        <v>2545.1964545454543</v>
      </c>
      <c r="J11" s="109">
        <f t="shared" si="3"/>
        <v>9758.181818181818</v>
      </c>
      <c r="K11" s="109">
        <f t="shared" si="0"/>
        <v>10180.785818181817</v>
      </c>
      <c r="L11" s="53">
        <f t="shared" si="4"/>
        <v>11198.8644</v>
      </c>
      <c r="M11" s="54">
        <f>'SA Oct 2023'!BB5</f>
        <v>7</v>
      </c>
      <c r="N11" s="54">
        <f>'SA Oct 2023'!BC5</f>
        <v>0</v>
      </c>
      <c r="O11" s="54">
        <f>'SA Oct 2023'!BD5</f>
        <v>0</v>
      </c>
      <c r="P11" s="54">
        <f>'SA Oct 2023'!BE5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9468.1308109090896</v>
      </c>
      <c r="T11" s="112">
        <f t="shared" si="8"/>
        <v>9468.1308109090896</v>
      </c>
      <c r="U11" s="97">
        <f t="shared" si="6"/>
        <v>10414.943891999999</v>
      </c>
      <c r="V11" s="381">
        <f t="shared" si="6"/>
        <v>10414.943891999999</v>
      </c>
      <c r="W11" s="383"/>
      <c r="X11" s="383"/>
      <c r="Y11" s="383"/>
      <c r="Z11" s="383"/>
      <c r="AA11" s="383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83"/>
      <c r="AM11" s="383"/>
      <c r="AN11" s="383"/>
      <c r="AO11" s="383"/>
      <c r="AP11" s="383"/>
    </row>
    <row r="12" spans="1:42" ht="14" x14ac:dyDescent="0.15">
      <c r="A12" s="70" t="str">
        <f>'SA Oct 2023'!K6</f>
        <v>Lumo Energy</v>
      </c>
      <c r="B12" s="49" t="str">
        <f>'SA Oct 2023'!L6</f>
        <v>Basic</v>
      </c>
      <c r="C12" s="46">
        <f>IF('SA Oct 2023'!BP6=0,91*'SA Oct 2023'!M6/100,(91*'SA Oct 2023'!M6/100)+'SA Oct 2023'!BP6/4)</f>
        <v>118.3</v>
      </c>
      <c r="D12" s="46">
        <f>IF('SA Oct 2023'!O6="",$C$5*'SA Oct 2023'!N6/100,IF($C$5&gt;='SA Oct 2023'!P6,('SA Oct 2023'!P6*'SA Oct 2023'!N6/100),($C$5*'SA Oct 2023'!N6/100)))</f>
        <v>2199.9999999999995</v>
      </c>
      <c r="E12" s="46">
        <f>IF(AND('SA Oct 2023'!P6&gt;0,'SA Oct 2023'!R6&gt;0),IF($C$5&lt;'SA Oct 2023'!P6,0,IF($C$5&lt;=('SA Oct 2023'!R6+'SA Oct 2023'!P6),(($C$5-'SA Oct 2023'!P6)*'SA Oct 2023'!Q6/100),(('SA Oct 2023'!R6)*'SA Oct 2023'!Q6/100))),0)</f>
        <v>0</v>
      </c>
      <c r="F12" s="46">
        <f>IF(AND('SA Oct 2023'!Q6&gt;0,'SA Oct 2023'!S6&gt;0),IF($C$5&lt;('SA Oct 2023'!R6+'SA Oct 2023'!P6),0,IF($C$5&lt;=('SA Oct 2023'!T6+'SA Oct 2023'!R6+'SA Oct 2023'!P6),(($C$5-('SA Oct 2023'!R6+'SA Oct 2023'!P6))*'SA Oct 2023'!S6/100),('SA Oct 2023'!T6*'SA Oct 2023'!S6/100))),0)</f>
        <v>0</v>
      </c>
      <c r="G12" s="50">
        <v>1</v>
      </c>
      <c r="H12" s="46">
        <f>IF(AND('SA Oct 2023'!R6&gt;0,'SA Oct 2023'!T6&gt;0),IF(($C$5&lt;'SA Oct 2023'!T6),(0),($C$5-'SA Oct 2023'!T6)*'SA Oct 2023'!U6/100),IF(AND('SA Oct 2023'!R6&gt;0,'SA Oct 2023'!T6=""),IF(($C$5&lt;'SA Oct 2023'!R6+'SA Oct 2023'!P6),(0),(($C$5-('SA Oct 2023'!R6+'SA Oct 2023'!P6))*'SA Oct 2023'!S6/100)),IF(AND('SA Oct 2023'!P6&gt;0,'SA Oct 2023'!R6=""&gt;0),IF(($C$5&lt;'SA Oct 2023'!P6),(0),($C$5-'SA Oct 2023'!P6)*'SA Oct 2023'!Q6/100),0)))</f>
        <v>0</v>
      </c>
      <c r="I12" s="52">
        <f t="shared" ref="I12" si="9">SUM(C12:H12)</f>
        <v>2319.2999999999997</v>
      </c>
      <c r="J12" s="109">
        <f t="shared" si="3"/>
        <v>8803.9999999999982</v>
      </c>
      <c r="K12" s="109">
        <f t="shared" si="0"/>
        <v>9277.1999999999989</v>
      </c>
      <c r="L12" s="53">
        <f t="shared" si="4"/>
        <v>10204.92</v>
      </c>
      <c r="M12" s="54">
        <f>'SA Oct 2023'!BB6</f>
        <v>0</v>
      </c>
      <c r="N12" s="54">
        <f>'SA Oct 2023'!BC6</f>
        <v>0</v>
      </c>
      <c r="O12" s="54">
        <f>'SA Oct 2023'!BD6</f>
        <v>0</v>
      </c>
      <c r="P12" s="54">
        <f>'SA Oct 2023'!BE6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9277.1999999999989</v>
      </c>
      <c r="T12" s="112">
        <f t="shared" si="8"/>
        <v>9277.1999999999989</v>
      </c>
      <c r="U12" s="97">
        <f t="shared" si="6"/>
        <v>10204.92</v>
      </c>
      <c r="V12" s="381">
        <f t="shared" si="6"/>
        <v>10204.92</v>
      </c>
      <c r="W12" s="383"/>
      <c r="X12" s="383"/>
      <c r="Y12" s="383"/>
      <c r="Z12" s="383"/>
      <c r="AA12" s="383"/>
      <c r="AB12" s="383"/>
      <c r="AC12" s="383"/>
      <c r="AD12" s="383"/>
      <c r="AE12" s="383"/>
      <c r="AF12" s="383"/>
      <c r="AG12" s="383"/>
      <c r="AH12" s="383"/>
      <c r="AI12" s="383"/>
      <c r="AJ12" s="383"/>
      <c r="AK12" s="383"/>
      <c r="AL12" s="383"/>
      <c r="AM12" s="383"/>
      <c r="AN12" s="383"/>
      <c r="AO12" s="383"/>
      <c r="AP12" s="383"/>
    </row>
    <row r="13" spans="1:42" ht="14" x14ac:dyDescent="0.15">
      <c r="A13" s="70" t="str">
        <f>'SA Oct 2023'!K7</f>
        <v>Origin Energy</v>
      </c>
      <c r="B13" s="49" t="str">
        <f>'SA Oct 2023'!L7</f>
        <v>Go Variable</v>
      </c>
      <c r="C13" s="46">
        <f>IF('SA Oct 2023'!BP7=0,91*'SA Oct 2023'!M7/100,(91*'SA Oct 2023'!M7/100)+'SA Oct 2023'!BP7/4)</f>
        <v>89.527454545454546</v>
      </c>
      <c r="D13" s="46">
        <f>IF('SA Oct 2023'!O7="",$C$5*'SA Oct 2023'!N7/100,IF($C$5&gt;='SA Oct 2023'!P7,('SA Oct 2023'!P7*'SA Oct 2023'!N7/100),($C$5*'SA Oct 2023'!N7/100)))</f>
        <v>2233.181818181818</v>
      </c>
      <c r="E13" s="46">
        <f>IF(AND('SA Oct 2023'!P7&gt;0,'SA Oct 2023'!R7&gt;0),IF($C$5&lt;'SA Oct 2023'!P7,0,IF($C$5&lt;=('SA Oct 2023'!R7+'SA Oct 2023'!P7),(($C$5-'SA Oct 2023'!P7)*'SA Oct 2023'!Q7/100),(('SA Oct 2023'!R7)*'SA Oct 2023'!Q7/100))),0)</f>
        <v>0</v>
      </c>
      <c r="F13" s="46">
        <f>IF(AND('SA Oct 2023'!Q7&gt;0,'SA Oct 2023'!S7&gt;0),IF($C$5&lt;('SA Oct 2023'!R7+'SA Oct 2023'!P7),0,IF($C$5&lt;=('SA Oct 2023'!T7+'SA Oct 2023'!R7+'SA Oct 2023'!P7),(($C$5-('SA Oct 2023'!R7+'SA Oct 2023'!P7))*'SA Oct 2023'!S7/100),('SA Oct 2023'!T7*'SA Oct 2023'!S7/100))),0)</f>
        <v>0</v>
      </c>
      <c r="G13" s="50">
        <v>0</v>
      </c>
      <c r="H13" s="46">
        <f>IF(AND('SA Oct 2023'!R7&gt;0,'SA Oct 2023'!T7&gt;0),IF(($C$5&lt;'SA Oct 2023'!T7),(0),($C$5-'SA Oct 2023'!T7)*'SA Oct 2023'!U7/100),IF(AND('SA Oct 2023'!R7&gt;0,'SA Oct 2023'!T7=""),IF(($C$5&lt;'SA Oct 2023'!R7+'SA Oct 2023'!P7),(0),(($C$5-('SA Oct 2023'!R7+'SA Oct 2023'!P7))*'SA Oct 2023'!S7/100)),IF(AND('SA Oct 2023'!P7&gt;0,'SA Oct 2023'!R7=""&gt;0),IF(($C$5&lt;'SA Oct 2023'!P7),(0),($C$5-'SA Oct 2023'!P7)*'SA Oct 2023'!Q7/100),0)))</f>
        <v>0</v>
      </c>
      <c r="I13" s="52">
        <f t="shared" ref="I13:I17" si="10">SUM(C13:H13)</f>
        <v>2322.7092727272725</v>
      </c>
      <c r="J13" s="109">
        <f t="shared" si="3"/>
        <v>8932.7272727272721</v>
      </c>
      <c r="K13" s="109">
        <f t="shared" si="0"/>
        <v>9290.83709090909</v>
      </c>
      <c r="L13" s="53">
        <f t="shared" si="4"/>
        <v>10219.9208</v>
      </c>
      <c r="M13" s="54">
        <f>'SA Oct 2023'!BB7</f>
        <v>0</v>
      </c>
      <c r="N13" s="54">
        <f>'SA Oct 2023'!BC7</f>
        <v>0</v>
      </c>
      <c r="O13" s="54">
        <f>'SA Oct 2023'!BD7</f>
        <v>0</v>
      </c>
      <c r="P13" s="54">
        <f>'SA Oct 2023'!BE7</f>
        <v>0</v>
      </c>
      <c r="Q13" s="110" t="str">
        <f t="shared" si="5"/>
        <v>No discount</v>
      </c>
      <c r="R13" s="73" t="str">
        <f t="shared" si="1"/>
        <v>Inclusive</v>
      </c>
      <c r="S13" s="111">
        <f t="shared" si="7"/>
        <v>9290.83709090909</v>
      </c>
      <c r="T13" s="112">
        <f t="shared" si="8"/>
        <v>9290.83709090909</v>
      </c>
      <c r="U13" s="97">
        <f t="shared" si="6"/>
        <v>10219.9208</v>
      </c>
      <c r="V13" s="381">
        <f t="shared" si="6"/>
        <v>10219.9208</v>
      </c>
      <c r="W13" s="383"/>
      <c r="X13" s="383"/>
      <c r="Y13" s="383"/>
      <c r="Z13" s="383"/>
      <c r="AA13" s="383"/>
      <c r="AB13" s="383"/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83"/>
      <c r="AN13" s="383"/>
      <c r="AO13" s="383"/>
      <c r="AP13" s="383"/>
    </row>
    <row r="14" spans="1:42" ht="14" x14ac:dyDescent="0.15">
      <c r="A14" s="70" t="str">
        <f>'SA Oct 2023'!K8</f>
        <v>Red Energy</v>
      </c>
      <c r="B14" s="49" t="str">
        <f>'SA Oct 2023'!L8</f>
        <v>Red Business Saver</v>
      </c>
      <c r="C14" s="46">
        <f>IF('SA Oct 2023'!BP8=0,91*'SA Oct 2023'!M8/100,(91*'SA Oct 2023'!M8/100)+'SA Oct 2023'!BP8/4)</f>
        <v>118.3</v>
      </c>
      <c r="D14" s="46">
        <f>IF('SA Oct 2023'!O8="",$C$5*'SA Oct 2023'!N8/100,IF($C$5&gt;='SA Oct 2023'!P8,('SA Oct 2023'!P8*'SA Oct 2023'!N8/100),($C$5*'SA Oct 2023'!N8/100)))</f>
        <v>2199.9999999999995</v>
      </c>
      <c r="E14" s="46">
        <f>IF(AND('SA Oct 2023'!P8&gt;0,'SA Oct 2023'!R8&gt;0),IF($C$5&lt;'SA Oct 2023'!P8,0,IF($C$5&lt;=('SA Oct 2023'!R8+'SA Oct 2023'!P8),(($C$5-'SA Oct 2023'!P8)*'SA Oct 2023'!Q8/100),(('SA Oct 2023'!R8)*'SA Oct 2023'!Q8/100))),0)</f>
        <v>0</v>
      </c>
      <c r="F14" s="46">
        <f>IF(AND('SA Oct 2023'!Q8&gt;0,'SA Oct 2023'!S8&gt;0),IF($C$5&lt;('SA Oct 2023'!R8+'SA Oct 2023'!P8),0,IF($C$5&lt;=('SA Oct 2023'!T8+'SA Oct 2023'!R8+'SA Oct 2023'!P8),(($C$5-('SA Oct 2023'!R8+'SA Oct 2023'!P8))*'SA Oct 2023'!S8/100),('SA Oct 2023'!T8*'SA Oct 2023'!S8/100))),0)</f>
        <v>0</v>
      </c>
      <c r="G14" s="50">
        <v>0</v>
      </c>
      <c r="H14" s="46">
        <f>IF(AND('SA Oct 2023'!R8&gt;0,'SA Oct 2023'!T8&gt;0),IF(($C$5&lt;'SA Oct 2023'!T8),(0),($C$5-'SA Oct 2023'!T8)*'SA Oct 2023'!U8/100),IF(AND('SA Oct 2023'!R8&gt;0,'SA Oct 2023'!T8=""),IF(($C$5&lt;'SA Oct 2023'!R8+'SA Oct 2023'!P8),(0),(($C$5-('SA Oct 2023'!R8+'SA Oct 2023'!P8))*'SA Oct 2023'!S8/100)),IF(AND('SA Oct 2023'!P8&gt;0,'SA Oct 2023'!R8=""&gt;0),IF(($C$5&lt;'SA Oct 2023'!P8),(0),($C$5-'SA Oct 2023'!P8)*'SA Oct 2023'!Q8/100),0)))</f>
        <v>0</v>
      </c>
      <c r="I14" s="52">
        <f t="shared" si="10"/>
        <v>2318.2999999999997</v>
      </c>
      <c r="J14" s="109">
        <f t="shared" si="3"/>
        <v>8799.9999999999982</v>
      </c>
      <c r="K14" s="109">
        <f t="shared" si="0"/>
        <v>9273.1999999999989</v>
      </c>
      <c r="L14" s="53">
        <f t="shared" si="4"/>
        <v>10200.52</v>
      </c>
      <c r="M14" s="54">
        <f>'SA Oct 2023'!BB8</f>
        <v>0</v>
      </c>
      <c r="N14" s="54">
        <f>'SA Oct 2023'!BC8</f>
        <v>0</v>
      </c>
      <c r="O14" s="54">
        <f>'SA Oct 2023'!BD8</f>
        <v>0</v>
      </c>
      <c r="P14" s="54">
        <f>'SA Oct 2023'!BE8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9273.1999999999989</v>
      </c>
      <c r="T14" s="112">
        <f t="shared" si="8"/>
        <v>9273.1999999999989</v>
      </c>
      <c r="U14" s="97">
        <f t="shared" si="6"/>
        <v>10200.52</v>
      </c>
      <c r="V14" s="381">
        <f t="shared" si="6"/>
        <v>10200.52</v>
      </c>
      <c r="W14" s="383"/>
      <c r="X14" s="383"/>
      <c r="Y14" s="383"/>
      <c r="Z14" s="383"/>
      <c r="AA14" s="383"/>
      <c r="AB14" s="383"/>
      <c r="AC14" s="383"/>
      <c r="AD14" s="383"/>
      <c r="AE14" s="383"/>
      <c r="AF14" s="383"/>
      <c r="AG14" s="383"/>
      <c r="AH14" s="383"/>
      <c r="AI14" s="383"/>
      <c r="AJ14" s="383"/>
      <c r="AK14" s="383"/>
      <c r="AL14" s="383"/>
      <c r="AM14" s="383"/>
      <c r="AN14" s="383"/>
      <c r="AO14" s="383"/>
      <c r="AP14" s="383"/>
    </row>
    <row r="15" spans="1:42" ht="14" x14ac:dyDescent="0.15">
      <c r="A15" s="70" t="str">
        <f>'SA Oct 2023'!K9</f>
        <v>Simply Energy</v>
      </c>
      <c r="B15" s="49" t="str">
        <f>'SA Oct 2023'!L9</f>
        <v>Business Saver</v>
      </c>
      <c r="C15" s="46">
        <f>IF('SA Oct 2023'!BP9=0,91*'SA Oct 2023'!M9/100,(91*'SA Oct 2023'!M9/100)+'SA Oct 2023'!BP9/4)</f>
        <v>100.73699999999999</v>
      </c>
      <c r="D15" s="46">
        <f>IF('SA Oct 2023'!O9="",$C$5*'SA Oct 2023'!N9/100,IF($C$5&gt;='SA Oct 2023'!P9,('SA Oct 2023'!P9*'SA Oct 2023'!N9/100),($C$5*'SA Oct 2023'!N9/100)))</f>
        <v>1872.0850909090907</v>
      </c>
      <c r="E15" s="46">
        <f>IF(AND('SA Oct 2023'!P9&gt;0,'SA Oct 2023'!R9&gt;0),IF($C$5&lt;'SA Oct 2023'!P9,0,IF($C$5&lt;=('SA Oct 2023'!R9+'SA Oct 2023'!P9),(($C$5-'SA Oct 2023'!P9)*'SA Oct 2023'!Q9/100),(('SA Oct 2023'!R9)*'SA Oct 2023'!Q9/100))),0)</f>
        <v>0</v>
      </c>
      <c r="F15" s="46">
        <f>IF(AND('SA Oct 2023'!Q9&gt;0,'SA Oct 2023'!S9&gt;0),IF($C$5&lt;('SA Oct 2023'!R9+'SA Oct 2023'!P9),0,IF($C$5&lt;=('SA Oct 2023'!T9+'SA Oct 2023'!R9+'SA Oct 2023'!P9),(($C$5-('SA Oct 2023'!R9+'SA Oct 2023'!P9))*'SA Oct 2023'!S9/100),('SA Oct 2023'!T9*'SA Oct 2023'!S9/100))),0)</f>
        <v>0</v>
      </c>
      <c r="G15" s="50">
        <v>0</v>
      </c>
      <c r="H15" s="46">
        <f>IF(AND('SA Oct 2023'!R9&gt;0,'SA Oct 2023'!T9&gt;0),IF(($C$5&lt;'SA Oct 2023'!T9),(0),($C$5-'SA Oct 2023'!T9)*'SA Oct 2023'!U9/100),IF(AND('SA Oct 2023'!R9&gt;0,'SA Oct 2023'!T9=""),IF(($C$5&lt;'SA Oct 2023'!R9+'SA Oct 2023'!P9),(0),(($C$5-('SA Oct 2023'!R9+'SA Oct 2023'!P9))*'SA Oct 2023'!S9/100)),IF(AND('SA Oct 2023'!P9&gt;0,'SA Oct 2023'!R9=""&gt;0),IF(($C$5&lt;'SA Oct 2023'!P9),(0),($C$5-'SA Oct 2023'!P9)*'SA Oct 2023'!Q9/100),0)))</f>
        <v>605.81327272727265</v>
      </c>
      <c r="I15" s="52">
        <f t="shared" si="10"/>
        <v>2578.6353636363633</v>
      </c>
      <c r="J15" s="109">
        <f t="shared" si="3"/>
        <v>9911.5934545454529</v>
      </c>
      <c r="K15" s="109">
        <f t="shared" si="0"/>
        <v>10314.541454545453</v>
      </c>
      <c r="L15" s="53">
        <f t="shared" si="4"/>
        <v>11345.9956</v>
      </c>
      <c r="M15" s="54">
        <f>'SA Oct 2023'!BB9</f>
        <v>0</v>
      </c>
      <c r="N15" s="54">
        <f>'SA Oct 2023'!BC9</f>
        <v>0</v>
      </c>
      <c r="O15" s="54">
        <f>'SA Oct 2023'!BD9</f>
        <v>0</v>
      </c>
      <c r="P15" s="54">
        <f>'SA Oct 2023'!BE9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10314.541454545453</v>
      </c>
      <c r="T15" s="112">
        <f t="shared" si="8"/>
        <v>10314.541454545453</v>
      </c>
      <c r="U15" s="97">
        <f t="shared" si="6"/>
        <v>11345.9956</v>
      </c>
      <c r="V15" s="381">
        <f t="shared" si="6"/>
        <v>11345.9956</v>
      </c>
      <c r="W15" s="383"/>
      <c r="X15" s="383"/>
      <c r="Y15" s="383"/>
      <c r="Z15" s="383"/>
      <c r="AA15" s="383"/>
      <c r="AB15" s="383"/>
      <c r="AC15" s="383"/>
      <c r="AD15" s="383"/>
      <c r="AE15" s="383"/>
      <c r="AF15" s="383"/>
      <c r="AG15" s="383"/>
      <c r="AH15" s="383"/>
      <c r="AI15" s="383"/>
      <c r="AJ15" s="383"/>
      <c r="AK15" s="383"/>
      <c r="AL15" s="383"/>
      <c r="AM15" s="383"/>
      <c r="AN15" s="383"/>
      <c r="AO15" s="383"/>
      <c r="AP15" s="383"/>
    </row>
    <row r="16" spans="1:42" ht="14" x14ac:dyDescent="0.15">
      <c r="A16" s="70" t="str">
        <f>'SA Oct 2023'!K10</f>
        <v>Powershop</v>
      </c>
      <c r="B16" s="49" t="str">
        <f>'SA Oct 2023'!L10</f>
        <v>100% Carbon Neutral</v>
      </c>
      <c r="C16" s="46">
        <f>IF('SA Oct 2023'!BP10=0,91*'SA Oct 2023'!M10/100,(91*'SA Oct 2023'!M10/100)+'SA Oct 2023'!BP10/4)</f>
        <v>141.95999999999998</v>
      </c>
      <c r="D16" s="46">
        <f>IF('SA Oct 2023'!O10="",$C$5*'SA Oct 2023'!N10/100,IF($C$5&gt;='SA Oct 2023'!P10,('SA Oct 2023'!P10*'SA Oct 2023'!N10/100),($C$5*'SA Oct 2023'!N10/100)))</f>
        <v>2365</v>
      </c>
      <c r="E16" s="46">
        <f>IF(AND('SA Oct 2023'!P10&gt;0,'SA Oct 2023'!R10&gt;0),IF($C$5&lt;'SA Oct 2023'!P10,0,IF($C$5&lt;=('SA Oct 2023'!R10+'SA Oct 2023'!P10),(($C$5-'SA Oct 2023'!P10)*'SA Oct 2023'!Q10/100),(('SA Oct 2023'!R10)*'SA Oct 2023'!Q10/100))),0)</f>
        <v>0</v>
      </c>
      <c r="F16" s="46">
        <f>IF(AND('SA Oct 2023'!Q10&gt;0,'SA Oct 2023'!S10&gt;0),IF($C$5&lt;('SA Oct 2023'!R10+'SA Oct 2023'!P10),0,IF($C$5&lt;=('SA Oct 2023'!T10+'SA Oct 2023'!R10+'SA Oct 2023'!P10),(($C$5-('SA Oct 2023'!R10+'SA Oct 2023'!P10))*'SA Oct 2023'!S10/100),('SA Oct 2023'!T10*'SA Oct 2023'!S10/100))),0)</f>
        <v>0</v>
      </c>
      <c r="G16" s="50">
        <v>0</v>
      </c>
      <c r="H16" s="46">
        <f>IF(AND('SA Oct 2023'!R10&gt;0,'SA Oct 2023'!T10&gt;0),IF(($C$5&lt;'SA Oct 2023'!T10),(0),($C$5-'SA Oct 2023'!T10)*'SA Oct 2023'!U10/100),IF(AND('SA Oct 2023'!R10&gt;0,'SA Oct 2023'!T10=""),IF(($C$5&lt;'SA Oct 2023'!R10+'SA Oct 2023'!P10),(0),(($C$5-('SA Oct 2023'!R10+'SA Oct 2023'!P10))*'SA Oct 2023'!S10/100)),IF(AND('SA Oct 2023'!P10&gt;0,'SA Oct 2023'!R10=""&gt;0),IF(($C$5&lt;'SA Oct 2023'!P10),(0),($C$5-'SA Oct 2023'!P10)*'SA Oct 2023'!Q10/100),0)))</f>
        <v>0</v>
      </c>
      <c r="I16" s="52">
        <f t="shared" si="10"/>
        <v>2506.96</v>
      </c>
      <c r="J16" s="109">
        <f t="shared" si="3"/>
        <v>9460</v>
      </c>
      <c r="K16" s="109">
        <f t="shared" si="0"/>
        <v>10027.84</v>
      </c>
      <c r="L16" s="53">
        <f t="shared" si="4"/>
        <v>11030.624000000002</v>
      </c>
      <c r="M16" s="54">
        <f>'SA Oct 2023'!BB10</f>
        <v>0</v>
      </c>
      <c r="N16" s="54">
        <f>'SA Oct 2023'!BC10</f>
        <v>0</v>
      </c>
      <c r="O16" s="54">
        <f>'SA Oct 2023'!BD10</f>
        <v>0</v>
      </c>
      <c r="P16" s="54">
        <f>'SA Oct 2023'!BE10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10027.84</v>
      </c>
      <c r="T16" s="112">
        <f t="shared" si="8"/>
        <v>10027.84</v>
      </c>
      <c r="U16" s="97">
        <f t="shared" si="6"/>
        <v>11030.624000000002</v>
      </c>
      <c r="V16" s="381">
        <f t="shared" si="6"/>
        <v>11030.624000000002</v>
      </c>
      <c r="W16" s="383"/>
      <c r="X16" s="383"/>
      <c r="Y16" s="383"/>
      <c r="Z16" s="383"/>
      <c r="AA16" s="383"/>
      <c r="AB16" s="383"/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83"/>
      <c r="AP16" s="383"/>
    </row>
    <row r="17" spans="1:42" ht="14" x14ac:dyDescent="0.15">
      <c r="A17" s="70" t="str">
        <f>'SA Oct 2023'!K11</f>
        <v>Energy Locals</v>
      </c>
      <c r="B17" s="49" t="str">
        <f>'SA Oct 2023'!L11</f>
        <v>Business Member</v>
      </c>
      <c r="C17" s="46">
        <f>IF('SA Oct 2023'!BP11=0,91*'SA Oct 2023'!M11/100,(91*'SA Oct 2023'!M11/100)+'SA Oct 2023'!BP11/4)</f>
        <v>121.24090909090907</v>
      </c>
      <c r="D17" s="46">
        <f>IF('SA Oct 2023'!O11="",$C$5*'SA Oct 2023'!N11/100,IF($C$5&gt;='SA Oct 2023'!P11,('SA Oct 2023'!P11*'SA Oct 2023'!N11/100),($C$5*'SA Oct 2023'!N11/100)))</f>
        <v>1840.9090909090905</v>
      </c>
      <c r="E17" s="46">
        <f>IF(AND('SA Oct 2023'!P11&gt;0,'SA Oct 2023'!R11&gt;0),IF($C$5&lt;'SA Oct 2023'!P11,0,IF($C$5&lt;=('SA Oct 2023'!R11+'SA Oct 2023'!P11),(($C$5-'SA Oct 2023'!P11)*'SA Oct 2023'!Q11/100),(('SA Oct 2023'!R11)*'SA Oct 2023'!Q11/100))),0)</f>
        <v>0</v>
      </c>
      <c r="F17" s="46">
        <f>IF(AND('SA Oct 2023'!Q11&gt;0,'SA Oct 2023'!S11&gt;0),IF($C$5&lt;('SA Oct 2023'!R11+'SA Oct 2023'!P11),0,IF($C$5&lt;=('SA Oct 2023'!T11+'SA Oct 2023'!R11+'SA Oct 2023'!P11),(($C$5-('SA Oct 2023'!R11+'SA Oct 2023'!P11))*'SA Oct 2023'!S11/100),('SA Oct 2023'!T11*'SA Oct 2023'!S11/100))),0)</f>
        <v>0</v>
      </c>
      <c r="G17" s="50">
        <v>0</v>
      </c>
      <c r="H17" s="46">
        <f>IF(AND('SA Oct 2023'!R11&gt;0,'SA Oct 2023'!T11&gt;0),IF(($C$5&lt;'SA Oct 2023'!T11),(0),($C$5-'SA Oct 2023'!T11)*'SA Oct 2023'!U11/100),IF(AND('SA Oct 2023'!R11&gt;0,'SA Oct 2023'!T11=""),IF(($C$5&lt;'SA Oct 2023'!R11+'SA Oct 2023'!P11),(0),(($C$5-('SA Oct 2023'!R11+'SA Oct 2023'!P11))*'SA Oct 2023'!S11/100)),IF(AND('SA Oct 2023'!P11&gt;0,'SA Oct 2023'!R11=""&gt;0),IF(($C$5&lt;'SA Oct 2023'!P11),(0),($C$5-'SA Oct 2023'!P11)*'SA Oct 2023'!Q11/100),0)))</f>
        <v>0</v>
      </c>
      <c r="I17" s="52">
        <f t="shared" si="10"/>
        <v>1962.1499999999996</v>
      </c>
      <c r="J17" s="109">
        <f t="shared" si="3"/>
        <v>7363.6363636363621</v>
      </c>
      <c r="K17" s="109">
        <f t="shared" si="0"/>
        <v>7848.5999999999985</v>
      </c>
      <c r="L17" s="53">
        <f t="shared" si="4"/>
        <v>8633.4599999999991</v>
      </c>
      <c r="M17" s="54">
        <f>'SA Oct 2023'!BB11</f>
        <v>0</v>
      </c>
      <c r="N17" s="54">
        <f>'SA Oct 2023'!BC11</f>
        <v>0</v>
      </c>
      <c r="O17" s="54">
        <f>'SA Oct 2023'!BD11</f>
        <v>0</v>
      </c>
      <c r="P17" s="54">
        <f>'SA Oct 2023'!BE11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7848.5999999999985</v>
      </c>
      <c r="T17" s="112">
        <f t="shared" si="8"/>
        <v>7848.5999999999985</v>
      </c>
      <c r="U17" s="97">
        <f t="shared" si="6"/>
        <v>8633.4599999999991</v>
      </c>
      <c r="V17" s="381">
        <f t="shared" si="6"/>
        <v>8633.4599999999991</v>
      </c>
      <c r="W17" s="383"/>
      <c r="X17" s="383"/>
      <c r="Y17" s="383"/>
      <c r="Z17" s="383"/>
      <c r="AA17" s="383"/>
      <c r="AB17" s="383"/>
      <c r="AC17" s="383"/>
      <c r="AD17" s="383"/>
      <c r="AE17" s="383"/>
      <c r="AF17" s="383"/>
      <c r="AG17" s="383"/>
      <c r="AH17" s="383"/>
      <c r="AI17" s="383"/>
      <c r="AJ17" s="383"/>
      <c r="AK17" s="383"/>
      <c r="AL17" s="383"/>
      <c r="AM17" s="383"/>
      <c r="AN17" s="383"/>
      <c r="AO17" s="383"/>
      <c r="AP17" s="383"/>
    </row>
    <row r="18" spans="1:42" ht="14" x14ac:dyDescent="0.15">
      <c r="A18" s="70" t="str">
        <f>'SA Oct 2023'!K12</f>
        <v>ReAmped Energy</v>
      </c>
      <c r="B18" s="73" t="str">
        <f>'SA Oct 2023'!L12</f>
        <v>Business</v>
      </c>
      <c r="C18" s="46">
        <f>IF('SA Oct 2023'!BP12=0,91*'SA Oct 2023'!M12/100,(91*'SA Oct 2023'!M12/100)+'SA Oct 2023'!BP12/4)</f>
        <v>60.572909090909086</v>
      </c>
      <c r="D18" s="46">
        <f>IF('SA Oct 2023'!O12="",$C$5*'SA Oct 2023'!N12/100,IF($C$5&gt;='SA Oct 2023'!P12,('SA Oct 2023'!P12*'SA Oct 2023'!N12/100),($C$5*'SA Oct 2023'!N12/100)))</f>
        <v>2529.9999999999995</v>
      </c>
      <c r="E18" s="46">
        <f>IF(AND('SA Oct 2023'!P12&gt;0,'SA Oct 2023'!R12&gt;0),IF($C$5&lt;'SA Oct 2023'!P12,0,IF($C$5&lt;=('SA Oct 2023'!R12+'SA Oct 2023'!P12),(($C$5-'SA Oct 2023'!P12)*'SA Oct 2023'!Q12/100),(('SA Oct 2023'!R12)*'SA Oct 2023'!Q12/100))),0)</f>
        <v>0</v>
      </c>
      <c r="F18" s="46">
        <f>IF(AND('SA Oct 2023'!Q12&gt;0,'SA Oct 2023'!S12&gt;0),IF($C$5&lt;('SA Oct 2023'!R12+'SA Oct 2023'!P12),0,IF($C$5&lt;=('SA Oct 2023'!T12+'SA Oct 2023'!R12+'SA Oct 2023'!P12),(($C$5-('SA Oct 2023'!R12+'SA Oct 2023'!P12))*'SA Oct 2023'!S12/100),('SA Oct 2023'!T12*'SA Oct 2023'!S12/100))),0)</f>
        <v>0</v>
      </c>
      <c r="G18" s="50">
        <v>0</v>
      </c>
      <c r="H18" s="46">
        <f>IF(AND('SA Oct 2023'!R12&gt;0,'SA Oct 2023'!T12&gt;0),IF(($C$5&lt;'SA Oct 2023'!T12),(0),($C$5-'SA Oct 2023'!T12)*'SA Oct 2023'!U12/100),IF(AND('SA Oct 2023'!R12&gt;0,'SA Oct 2023'!T12=""),IF(($C$5&lt;'SA Oct 2023'!R12+'SA Oct 2023'!P12),(0),(($C$5-('SA Oct 2023'!R12+'SA Oct 2023'!P12))*'SA Oct 2023'!S12/100)),IF(AND('SA Oct 2023'!P12&gt;0,'SA Oct 2023'!R12=""&gt;0),IF(($C$5&lt;'SA Oct 2023'!P12),(0),($C$5-'SA Oct 2023'!P12)*'SA Oct 2023'!Q12/100),0)))</f>
        <v>0</v>
      </c>
      <c r="I18" s="52">
        <f t="shared" ref="I18" si="11">SUM(C18:H18)</f>
        <v>2590.5729090909085</v>
      </c>
      <c r="J18" s="111">
        <f t="shared" si="3"/>
        <v>10119.999999999998</v>
      </c>
      <c r="K18" s="112">
        <f t="shared" si="0"/>
        <v>10362.291636363634</v>
      </c>
      <c r="L18" s="53">
        <f t="shared" si="4"/>
        <v>11398.520799999998</v>
      </c>
      <c r="M18" s="54">
        <f>'SA Oct 2023'!BB12</f>
        <v>0</v>
      </c>
      <c r="N18" s="54">
        <f>'SA Oct 2023'!BC12</f>
        <v>0</v>
      </c>
      <c r="O18" s="54">
        <f>'SA Oct 2023'!BD12</f>
        <v>0</v>
      </c>
      <c r="P18" s="54">
        <f>'SA Oct 2023'!BE12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10362.291636363634</v>
      </c>
      <c r="T18" s="112">
        <f t="shared" si="8"/>
        <v>10362.291636363634</v>
      </c>
      <c r="U18" s="97">
        <f t="shared" si="6"/>
        <v>11398.520799999998</v>
      </c>
      <c r="V18" s="381">
        <f t="shared" si="6"/>
        <v>11398.520799999998</v>
      </c>
      <c r="W18" s="383"/>
      <c r="X18" s="383"/>
      <c r="Y18" s="383"/>
      <c r="Z18" s="383"/>
      <c r="AA18" s="383"/>
      <c r="AB18" s="383"/>
      <c r="AC18" s="383"/>
      <c r="AD18" s="383"/>
      <c r="AE18" s="383"/>
      <c r="AF18" s="383"/>
      <c r="AG18" s="383"/>
      <c r="AH18" s="383"/>
      <c r="AI18" s="383"/>
      <c r="AJ18" s="383"/>
      <c r="AK18" s="383"/>
      <c r="AL18" s="383"/>
      <c r="AM18" s="383"/>
      <c r="AN18" s="383"/>
      <c r="AO18" s="383"/>
      <c r="AP18" s="383"/>
    </row>
    <row r="19" spans="1:42" ht="14" x14ac:dyDescent="0.15">
      <c r="A19" s="70" t="str">
        <f>'SA Oct 2023'!K13</f>
        <v>CovaU</v>
      </c>
      <c r="B19" s="73" t="str">
        <f>'SA Oct 2023'!L13</f>
        <v>Freedom</v>
      </c>
      <c r="C19" s="46">
        <f>IF('SA Oct 2023'!BP13=0,91*'SA Oct 2023'!M13/100,(91*'SA Oct 2023'!M13/100)+'SA Oct 2023'!BP13/4)</f>
        <v>89.179999999999978</v>
      </c>
      <c r="D19" s="46">
        <f>IF('SA Oct 2023'!O13="",$C$5*'SA Oct 2023'!N13/100,IF($C$5&gt;='SA Oct 2023'!P13,('SA Oct 2023'!P13*'SA Oct 2023'!N13/100),($C$5*'SA Oct 2023'!N13/100)))</f>
        <v>2228.181818181818</v>
      </c>
      <c r="E19" s="46">
        <f>IF(AND('SA Oct 2023'!P13&gt;0,'SA Oct 2023'!R13&gt;0),IF($C$5&lt;'SA Oct 2023'!P13,0,IF($C$5&lt;=('SA Oct 2023'!R13+'SA Oct 2023'!P13),(($C$5-'SA Oct 2023'!P13)*'SA Oct 2023'!Q13/100),(('SA Oct 2023'!R13)*'SA Oct 2023'!Q13/100))),0)</f>
        <v>0</v>
      </c>
      <c r="F19" s="46">
        <f>IF(AND('SA Oct 2023'!Q13&gt;0,'SA Oct 2023'!S13&gt;0),IF($C$5&lt;('SA Oct 2023'!R13+'SA Oct 2023'!P13),0,IF($C$5&lt;=('SA Oct 2023'!T13+'SA Oct 2023'!R13+'SA Oct 2023'!P13),(($C$5-('SA Oct 2023'!R13+'SA Oct 2023'!P13))*'SA Oct 2023'!S13/100),('SA Oct 2023'!T13*'SA Oct 2023'!S13/100))),0)</f>
        <v>0</v>
      </c>
      <c r="G19" s="50">
        <v>0</v>
      </c>
      <c r="H19" s="46">
        <f>IF(AND('SA Oct 2023'!R13&gt;0,'SA Oct 2023'!T13&gt;0),IF(($C$5&lt;'SA Oct 2023'!T13),(0),($C$5-'SA Oct 2023'!T13)*'SA Oct 2023'!U13/100),IF(AND('SA Oct 2023'!R13&gt;0,'SA Oct 2023'!T13=""),IF(($C$5&lt;'SA Oct 2023'!R13+'SA Oct 2023'!P13),(0),(($C$5-('SA Oct 2023'!R13+'SA Oct 2023'!P13))*'SA Oct 2023'!S13/100)),IF(AND('SA Oct 2023'!P13&gt;0,'SA Oct 2023'!R13=""&gt;0),IF(($C$5&lt;'SA Oct 2023'!P13),(0),($C$5-'SA Oct 2023'!P13)*'SA Oct 2023'!Q13/100),0)))</f>
        <v>0</v>
      </c>
      <c r="I19" s="52">
        <f t="shared" ref="I19" si="12">SUM(C19:H19)</f>
        <v>2317.3618181818179</v>
      </c>
      <c r="J19" s="111">
        <f t="shared" si="3"/>
        <v>8912.7272727272721</v>
      </c>
      <c r="K19" s="112">
        <f t="shared" si="0"/>
        <v>9269.4472727272714</v>
      </c>
      <c r="L19" s="53">
        <f t="shared" si="4"/>
        <v>10196.392</v>
      </c>
      <c r="M19" s="54">
        <f>'SA Oct 2023'!BB13</f>
        <v>0</v>
      </c>
      <c r="N19" s="54">
        <f>'SA Oct 2023'!BC13</f>
        <v>0</v>
      </c>
      <c r="O19" s="54">
        <f>'SA Oct 2023'!BD13</f>
        <v>0</v>
      </c>
      <c r="P19" s="54">
        <f>'SA Oct 2023'!BE13</f>
        <v>0</v>
      </c>
      <c r="Q19" s="110" t="str">
        <f t="shared" si="5"/>
        <v>No discount</v>
      </c>
      <c r="R19" s="73" t="str">
        <f t="shared" si="1"/>
        <v>Exclusive</v>
      </c>
      <c r="S19" s="111">
        <f t="shared" si="7"/>
        <v>9269.4472727272714</v>
      </c>
      <c r="T19" s="112">
        <f t="shared" si="8"/>
        <v>9269.4472727272714</v>
      </c>
      <c r="U19" s="97">
        <f t="shared" si="6"/>
        <v>10196.392</v>
      </c>
      <c r="V19" s="381">
        <f t="shared" si="6"/>
        <v>10196.392</v>
      </c>
      <c r="W19" s="383"/>
      <c r="X19" s="383"/>
      <c r="Y19" s="383"/>
      <c r="Z19" s="383"/>
      <c r="AA19" s="383"/>
      <c r="AB19" s="383"/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83"/>
      <c r="AN19" s="383"/>
      <c r="AO19" s="383"/>
      <c r="AP19" s="383"/>
    </row>
    <row r="20" spans="1:42" ht="14" x14ac:dyDescent="0.15">
      <c r="A20" s="70" t="str">
        <f>'SA Oct 2023'!K14</f>
        <v>Sumo Power</v>
      </c>
      <c r="B20" s="73" t="str">
        <f>'SA Oct 2023'!L14</f>
        <v>Lite</v>
      </c>
      <c r="C20" s="46">
        <f>IF('SA Oct 2023'!BP14=0,91*'SA Oct 2023'!M14/100,(91*'SA Oct 2023'!M14/100)+'SA Oct 2023'!BP14/4)</f>
        <v>105.55999999999999</v>
      </c>
      <c r="D20" s="46">
        <f>IF('SA Oct 2023'!O14="",$C$5*'SA Oct 2023'!N14/100,IF($C$5&gt;='SA Oct 2023'!P14,('SA Oct 2023'!P14*'SA Oct 2023'!N14/100),($C$5*'SA Oct 2023'!N14/100)))</f>
        <v>2440</v>
      </c>
      <c r="E20" s="46">
        <f>IF(AND('SA Oct 2023'!P14&gt;0,'SA Oct 2023'!R14&gt;0),IF($C$5&lt;'SA Oct 2023'!P14,0,IF($C$5&lt;=('SA Oct 2023'!R14+'SA Oct 2023'!P14),(($C$5-'SA Oct 2023'!P14)*'SA Oct 2023'!Q14/100),(('SA Oct 2023'!R14)*'SA Oct 2023'!Q14/100))),0)</f>
        <v>0</v>
      </c>
      <c r="F20" s="46">
        <f>IF(AND('SA Oct 2023'!Q14&gt;0,'SA Oct 2023'!S14&gt;0),IF($C$5&lt;('SA Oct 2023'!R14+'SA Oct 2023'!P14),0,IF($C$5&lt;=('SA Oct 2023'!T14+'SA Oct 2023'!R14+'SA Oct 2023'!P14),(($C$5-('SA Oct 2023'!R14+'SA Oct 2023'!P14))*'SA Oct 2023'!S14/100),('SA Oct 2023'!T14*'SA Oct 2023'!S14/100))),0)</f>
        <v>0</v>
      </c>
      <c r="G20" s="50">
        <v>0</v>
      </c>
      <c r="H20" s="46">
        <f>IF(AND('SA Oct 2023'!R14&gt;0,'SA Oct 2023'!T14&gt;0),IF(($C$5&lt;'SA Oct 2023'!T14),(0),($C$5-'SA Oct 2023'!T14)*'SA Oct 2023'!U14/100),IF(AND('SA Oct 2023'!R14&gt;0,'SA Oct 2023'!T14=""),IF(($C$5&lt;'SA Oct 2023'!R14+'SA Oct 2023'!P14),(0),(($C$5-('SA Oct 2023'!R14+'SA Oct 2023'!P14))*'SA Oct 2023'!S14/100)),IF(AND('SA Oct 2023'!P14&gt;0,'SA Oct 2023'!R14=""&gt;0),IF(($C$5&lt;'SA Oct 2023'!P14),(0),($C$5-'SA Oct 2023'!P14)*'SA Oct 2023'!Q14/100),0)))</f>
        <v>0</v>
      </c>
      <c r="I20" s="52">
        <f t="shared" ref="I20" si="13">SUM(C20:H20)</f>
        <v>2545.56</v>
      </c>
      <c r="J20" s="111">
        <f t="shared" si="3"/>
        <v>9760</v>
      </c>
      <c r="K20" s="112">
        <f t="shared" si="0"/>
        <v>10182.24</v>
      </c>
      <c r="L20" s="53">
        <f t="shared" si="4"/>
        <v>11200.464</v>
      </c>
      <c r="M20" s="54">
        <f>'SA Oct 2023'!BB14</f>
        <v>0</v>
      </c>
      <c r="N20" s="54">
        <f>'SA Oct 2023'!BC14</f>
        <v>0</v>
      </c>
      <c r="O20" s="54">
        <f>'SA Oct 2023'!BD14</f>
        <v>0</v>
      </c>
      <c r="P20" s="54">
        <f>'SA Oct 2023'!BE14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10182.24</v>
      </c>
      <c r="T20" s="112">
        <f t="shared" ref="T20:T23" si="14">S20-(S20*O20/100)</f>
        <v>10182.24</v>
      </c>
      <c r="U20" s="97">
        <f t="shared" si="6"/>
        <v>11200.464</v>
      </c>
      <c r="V20" s="381">
        <f t="shared" si="6"/>
        <v>11200.464</v>
      </c>
      <c r="W20" s="383"/>
      <c r="X20" s="383"/>
      <c r="Y20" s="383"/>
      <c r="Z20" s="383"/>
      <c r="AA20" s="383"/>
      <c r="AB20" s="383"/>
      <c r="AC20" s="383"/>
      <c r="AD20" s="383"/>
      <c r="AE20" s="383"/>
      <c r="AF20" s="383"/>
      <c r="AG20" s="383"/>
      <c r="AH20" s="383"/>
      <c r="AI20" s="383"/>
      <c r="AJ20" s="383"/>
      <c r="AK20" s="383"/>
      <c r="AL20" s="383"/>
      <c r="AM20" s="383"/>
      <c r="AN20" s="383"/>
      <c r="AO20" s="383"/>
      <c r="AP20" s="383"/>
    </row>
    <row r="21" spans="1:42" ht="14" x14ac:dyDescent="0.15">
      <c r="A21" s="70" t="str">
        <f>'SA Oct 2023'!K15</f>
        <v>Circular Energy</v>
      </c>
      <c r="B21" s="73" t="str">
        <f>'SA Oct 2023'!L15</f>
        <v>Zero Member Fee Business</v>
      </c>
      <c r="C21" s="46">
        <f>IF('SA Oct 2023'!BP15=0,91*'SA Oct 2023'!M15/100,(91*'SA Oct 2023'!M15/100)+'SA Oct 2023'!BP15/4)</f>
        <v>145.6</v>
      </c>
      <c r="D21" s="46">
        <f>IF('SA Oct 2023'!O15="",$C$5*'SA Oct 2023'!N15/100,IF($C$5&gt;='SA Oct 2023'!P15,('SA Oct 2023'!P15*'SA Oct 2023'!N15/100),($C$5*'SA Oct 2023'!N15/100)))</f>
        <v>2045.4545454545453</v>
      </c>
      <c r="E21" s="46">
        <f>IF(AND('SA Oct 2023'!P15&gt;0,'SA Oct 2023'!R15&gt;0),IF($C$5&lt;'SA Oct 2023'!P15,0,IF($C$5&lt;=('SA Oct 2023'!R15+'SA Oct 2023'!P15),(($C$5-'SA Oct 2023'!P15)*'SA Oct 2023'!Q15/100),(('SA Oct 2023'!R15)*'SA Oct 2023'!Q15/100))),0)</f>
        <v>0</v>
      </c>
      <c r="F21" s="46">
        <f>IF(AND('SA Oct 2023'!Q15&gt;0,'SA Oct 2023'!S15&gt;0),IF($C$5&lt;('SA Oct 2023'!R15+'SA Oct 2023'!P15),0,IF($C$5&lt;=('SA Oct 2023'!T15+'SA Oct 2023'!R15+'SA Oct 2023'!P15),(($C$5-('SA Oct 2023'!R15+'SA Oct 2023'!P15))*'SA Oct 2023'!S15/100),('SA Oct 2023'!T15*'SA Oct 2023'!S15/100))),0)</f>
        <v>0</v>
      </c>
      <c r="G21" s="50">
        <v>0</v>
      </c>
      <c r="H21" s="46">
        <f>IF(AND('SA Oct 2023'!R15&gt;0,'SA Oct 2023'!T15&gt;0),IF(($C$5&lt;'SA Oct 2023'!T15),(0),($C$5-'SA Oct 2023'!T15)*'SA Oct 2023'!U15/100),IF(AND('SA Oct 2023'!R15&gt;0,'SA Oct 2023'!T15=""),IF(($C$5&lt;'SA Oct 2023'!R15+'SA Oct 2023'!P15),(0),(($C$5-('SA Oct 2023'!R15+'SA Oct 2023'!P15))*'SA Oct 2023'!S15/100)),IF(AND('SA Oct 2023'!P15&gt;0,'SA Oct 2023'!R15=""&gt;0),IF(($C$5&lt;'SA Oct 2023'!P15),(0),($C$5-'SA Oct 2023'!P15)*'SA Oct 2023'!Q15/100),0)))</f>
        <v>0</v>
      </c>
      <c r="I21" s="52">
        <f t="shared" ref="I21" si="15">SUM(C21:H21)</f>
        <v>2191.0545454545454</v>
      </c>
      <c r="J21" s="111">
        <f t="shared" si="3"/>
        <v>8181.818181818182</v>
      </c>
      <c r="K21" s="112">
        <f t="shared" si="0"/>
        <v>8764.2181818181816</v>
      </c>
      <c r="L21" s="53">
        <f t="shared" si="4"/>
        <v>9640.6400000000012</v>
      </c>
      <c r="M21" s="54">
        <f>'SA Oct 2023'!BB15</f>
        <v>0</v>
      </c>
      <c r="N21" s="54">
        <f>'SA Oct 2023'!BC15</f>
        <v>0</v>
      </c>
      <c r="O21" s="54">
        <f>'SA Oct 2023'!BD15</f>
        <v>0</v>
      </c>
      <c r="P21" s="54">
        <f>'SA Oct 2023'!BE15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8764.2181818181816</v>
      </c>
      <c r="T21" s="112">
        <f t="shared" si="14"/>
        <v>8764.2181818181816</v>
      </c>
      <c r="U21" s="97">
        <f t="shared" si="6"/>
        <v>9640.6400000000012</v>
      </c>
      <c r="V21" s="381">
        <f t="shared" si="6"/>
        <v>9640.6400000000012</v>
      </c>
      <c r="W21" s="383"/>
      <c r="X21" s="383"/>
      <c r="Y21" s="383"/>
      <c r="Z21" s="383"/>
      <c r="AA21" s="383"/>
      <c r="AB21" s="383"/>
      <c r="AC21" s="383"/>
      <c r="AD21" s="383"/>
      <c r="AE21" s="383"/>
      <c r="AF21" s="383"/>
      <c r="AG21" s="383"/>
      <c r="AH21" s="383"/>
      <c r="AI21" s="383"/>
      <c r="AJ21" s="383"/>
      <c r="AK21" s="383"/>
      <c r="AL21" s="383"/>
      <c r="AM21" s="383"/>
      <c r="AN21" s="383"/>
      <c r="AO21" s="383"/>
      <c r="AP21" s="383"/>
    </row>
    <row r="22" spans="1:42" ht="14" x14ac:dyDescent="0.15">
      <c r="A22" s="70" t="str">
        <f>'SA Oct 2023'!K16</f>
        <v>Momentum Energy</v>
      </c>
      <c r="B22" s="73" t="str">
        <f>'SA Oct 2023'!L16</f>
        <v>Thrifty Business</v>
      </c>
      <c r="C22" s="46">
        <f>IF('SA Oct 2023'!BP16=0,91*'SA Oct 2023'!M16/100,(91*'SA Oct 2023'!M16/100)+'SA Oct 2023'!BP16/4)</f>
        <v>173.99200000000002</v>
      </c>
      <c r="D22" s="46">
        <f>IF('SA Oct 2023'!O16="",$C$5*'SA Oct 2023'!N16/100,IF($C$5&gt;='SA Oct 2023'!P16,('SA Oct 2023'!P16*'SA Oct 2023'!N16/100),($C$5*'SA Oct 2023'!N16/100)))</f>
        <v>2054.9999999999995</v>
      </c>
      <c r="E22" s="46">
        <f>IF(AND('SA Oct 2023'!P16&gt;0,'SA Oct 2023'!R16&gt;0),IF($C$5&lt;'SA Oct 2023'!P16,0,IF($C$5&lt;=('SA Oct 2023'!R16+'SA Oct 2023'!P16),(($C$5-'SA Oct 2023'!P16)*'SA Oct 2023'!Q16/100),(('SA Oct 2023'!R16)*'SA Oct 2023'!Q16/100))),0)</f>
        <v>0</v>
      </c>
      <c r="F22" s="46">
        <f>IF(AND('SA Oct 2023'!Q16&gt;0,'SA Oct 2023'!S16&gt;0),IF($C$5&lt;('SA Oct 2023'!R16+'SA Oct 2023'!P16),0,IF($C$5&lt;=('SA Oct 2023'!T16+'SA Oct 2023'!R16+'SA Oct 2023'!P16),(($C$5-('SA Oct 2023'!R16+'SA Oct 2023'!P16))*'SA Oct 2023'!S16/100),('SA Oct 2023'!T16*'SA Oct 2023'!S16/100))),0)</f>
        <v>0</v>
      </c>
      <c r="G22" s="50">
        <v>0</v>
      </c>
      <c r="H22" s="46">
        <f>IF(AND('SA Oct 2023'!R16&gt;0,'SA Oct 2023'!T16&gt;0),IF(($C$5&lt;'SA Oct 2023'!T16),(0),($C$5-'SA Oct 2023'!T16)*'SA Oct 2023'!U16/100),IF(AND('SA Oct 2023'!R16&gt;0,'SA Oct 2023'!T16=""),IF(($C$5&lt;'SA Oct 2023'!R16+'SA Oct 2023'!P16),(0),(($C$5-('SA Oct 2023'!R16+'SA Oct 2023'!P16))*'SA Oct 2023'!S16/100)),IF(AND('SA Oct 2023'!P16&gt;0,'SA Oct 2023'!R16=""&gt;0),IF(($C$5&lt;'SA Oct 2023'!P16),(0),($C$5-'SA Oct 2023'!P16)*'SA Oct 2023'!Q16/100),0)))</f>
        <v>0</v>
      </c>
      <c r="I22" s="52">
        <f t="shared" ref="I22:I23" si="16">SUM(C22:H22)</f>
        <v>2228.9919999999997</v>
      </c>
      <c r="J22" s="111">
        <f t="shared" si="3"/>
        <v>8219.9999999999982</v>
      </c>
      <c r="K22" s="112">
        <f t="shared" si="0"/>
        <v>8915.9679999999989</v>
      </c>
      <c r="L22" s="53">
        <f t="shared" si="4"/>
        <v>9807.5648000000001</v>
      </c>
      <c r="M22" s="54">
        <f>'SA Oct 2023'!BB16</f>
        <v>0</v>
      </c>
      <c r="N22" s="54">
        <f>'SA Oct 2023'!BC16</f>
        <v>0</v>
      </c>
      <c r="O22" s="54">
        <f>'SA Oct 2023'!BD16</f>
        <v>0</v>
      </c>
      <c r="P22" s="54">
        <f>'SA Oct 2023'!BE16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8915.9679999999989</v>
      </c>
      <c r="T22" s="112">
        <f t="shared" si="14"/>
        <v>8915.9679999999989</v>
      </c>
      <c r="U22" s="97">
        <f t="shared" si="6"/>
        <v>9807.5648000000001</v>
      </c>
      <c r="V22" s="381">
        <f t="shared" si="6"/>
        <v>9807.5648000000001</v>
      </c>
      <c r="W22" s="383"/>
      <c r="X22" s="383"/>
      <c r="Y22" s="383"/>
      <c r="Z22" s="383"/>
      <c r="AA22" s="383"/>
      <c r="AB22" s="383"/>
      <c r="AC22" s="383"/>
      <c r="AD22" s="383"/>
      <c r="AE22" s="383"/>
      <c r="AF22" s="383"/>
      <c r="AG22" s="383"/>
      <c r="AH22" s="383"/>
      <c r="AI22" s="383"/>
      <c r="AJ22" s="383"/>
      <c r="AK22" s="383"/>
      <c r="AL22" s="383"/>
      <c r="AM22" s="383"/>
      <c r="AN22" s="383"/>
      <c r="AO22" s="383"/>
      <c r="AP22" s="383"/>
    </row>
    <row r="23" spans="1:42" ht="14" x14ac:dyDescent="0.15">
      <c r="A23" s="70" t="str">
        <f>'SA Oct 2023'!K17</f>
        <v>Next Business Energy</v>
      </c>
      <c r="B23" s="73" t="str">
        <f>'SA Oct 2023'!L17</f>
        <v xml:space="preserve">Assured </v>
      </c>
      <c r="C23" s="46">
        <f>IF('SA Oct 2023'!BP17=0,91*'SA Oct 2023'!M17/100,(91*'SA Oct 2023'!M17/100)+'SA Oct 2023'!BP17/4)</f>
        <v>87.566818181818178</v>
      </c>
      <c r="D23" s="46">
        <f>IF('SA Oct 2023'!O17="",$C$5*'SA Oct 2023'!N17/100,IF($C$5&gt;='SA Oct 2023'!P17,('SA Oct 2023'!P17*'SA Oct 2023'!N17/100),($C$5*'SA Oct 2023'!N17/100)))</f>
        <v>2295.9090909090905</v>
      </c>
      <c r="E23" s="46">
        <f>IF(AND('SA Oct 2023'!P17&gt;0,'SA Oct 2023'!R17&gt;0),IF($C$5&lt;'SA Oct 2023'!P17,0,IF($C$5&lt;=('SA Oct 2023'!R17+'SA Oct 2023'!P17),(($C$5-'SA Oct 2023'!P17)*'SA Oct 2023'!Q17/100),(('SA Oct 2023'!R17)*'SA Oct 2023'!Q17/100))),0)</f>
        <v>0</v>
      </c>
      <c r="F23" s="46">
        <f>IF(AND('SA Oct 2023'!Q17&gt;0,'SA Oct 2023'!S17&gt;0),IF($C$5&lt;('SA Oct 2023'!R17+'SA Oct 2023'!P17),0,IF($C$5&lt;=('SA Oct 2023'!T17+'SA Oct 2023'!R17+'SA Oct 2023'!P17),(($C$5-('SA Oct 2023'!R17+'SA Oct 2023'!P17))*'SA Oct 2023'!S17/100),('SA Oct 2023'!T17*'SA Oct 2023'!S17/100))),0)</f>
        <v>0</v>
      </c>
      <c r="G23" s="50">
        <v>0</v>
      </c>
      <c r="H23" s="46">
        <f>IF(AND('SA Oct 2023'!R17&gt;0,'SA Oct 2023'!T17&gt;0),IF(($C$5&lt;'SA Oct 2023'!T17),(0),($C$5-'SA Oct 2023'!T17)*'SA Oct 2023'!U17/100),IF(AND('SA Oct 2023'!R17&gt;0,'SA Oct 2023'!T17=""),IF(($C$5&lt;'SA Oct 2023'!R17+'SA Oct 2023'!P17),(0),(($C$5-('SA Oct 2023'!R17+'SA Oct 2023'!P17))*'SA Oct 2023'!S17/100)),IF(AND('SA Oct 2023'!P17&gt;0,'SA Oct 2023'!R17=""&gt;0),IF(($C$5&lt;'SA Oct 2023'!P17),(0),($C$5-'SA Oct 2023'!P17)*'SA Oct 2023'!Q17/100),0)))</f>
        <v>0</v>
      </c>
      <c r="I23" s="52">
        <f t="shared" si="16"/>
        <v>2383.4759090909088</v>
      </c>
      <c r="J23" s="111">
        <f t="shared" si="3"/>
        <v>9183.6363636363621</v>
      </c>
      <c r="K23" s="112">
        <f t="shared" si="0"/>
        <v>9533.9036363636351</v>
      </c>
      <c r="L23" s="53">
        <f t="shared" si="4"/>
        <v>10487.294</v>
      </c>
      <c r="M23" s="54">
        <f>'SA Oct 2023'!BB17</f>
        <v>0</v>
      </c>
      <c r="N23" s="54">
        <f>'SA Oct 2023'!BC17</f>
        <v>0</v>
      </c>
      <c r="O23" s="54">
        <f>'SA Oct 2023'!BD17</f>
        <v>0</v>
      </c>
      <c r="P23" s="54">
        <f>'SA Oct 2023'!BE17</f>
        <v>0</v>
      </c>
      <c r="Q23" s="110" t="str">
        <f t="shared" si="5"/>
        <v>No discount</v>
      </c>
      <c r="R23" s="73" t="str">
        <f t="shared" si="1"/>
        <v>Exclusive</v>
      </c>
      <c r="S23" s="111">
        <f t="shared" si="7"/>
        <v>9533.9036363636351</v>
      </c>
      <c r="T23" s="112">
        <f t="shared" si="14"/>
        <v>9533.9036363636351</v>
      </c>
      <c r="U23" s="97">
        <f t="shared" si="6"/>
        <v>10487.294</v>
      </c>
      <c r="V23" s="381">
        <f t="shared" si="6"/>
        <v>10487.294</v>
      </c>
      <c r="W23" s="383"/>
      <c r="X23" s="383"/>
      <c r="Y23" s="383"/>
      <c r="Z23" s="383"/>
      <c r="AA23" s="383"/>
      <c r="AB23" s="383"/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</row>
    <row r="24" spans="1:42" ht="14" x14ac:dyDescent="0.15">
      <c r="A24" s="70" t="str">
        <f>'SA Oct 2023'!K18</f>
        <v>Blue Energy</v>
      </c>
      <c r="B24" s="73" t="str">
        <f>'SA Oct 2023'!L18</f>
        <v>Mini Freeze</v>
      </c>
      <c r="C24" s="46">
        <f>IF('SA Oct 2023'!BP18=0,91*'SA Oct 2023'!M18/100,(91*'SA Oct 2023'!M18/100)+'SA Oct 2023'!BP18/4)</f>
        <v>154.26154545454546</v>
      </c>
      <c r="D24" s="46">
        <f>IF('SA Oct 2023'!O18="",$C$5*'SA Oct 2023'!N18/100,IF($C$5&gt;='SA Oct 2023'!P18,('SA Oct 2023'!P18*'SA Oct 2023'!N18/100),($C$5*'SA Oct 2023'!N18/100)))</f>
        <v>1873.6363636363635</v>
      </c>
      <c r="E24" s="46">
        <f>IF(AND('SA Oct 2023'!P18&gt;0,'SA Oct 2023'!R18&gt;0),IF($C$5&lt;'SA Oct 2023'!P18,0,IF($C$5&lt;=('SA Oct 2023'!R18+'SA Oct 2023'!P18),(($C$5-'SA Oct 2023'!P18)*'SA Oct 2023'!Q18/100),(('SA Oct 2023'!R18)*'SA Oct 2023'!Q18/100))),0)</f>
        <v>0</v>
      </c>
      <c r="F24" s="46">
        <f>IF(AND('SA Oct 2023'!Q18&gt;0,'SA Oct 2023'!S18&gt;0),IF($C$5&lt;('SA Oct 2023'!R18+'SA Oct 2023'!P18),0,IF($C$5&lt;=('SA Oct 2023'!T18+'SA Oct 2023'!R18+'SA Oct 2023'!P18),(($C$5-('SA Oct 2023'!R18+'SA Oct 2023'!P18))*'SA Oct 2023'!S18/100),('SA Oct 2023'!T18*'SA Oct 2023'!S18/100))),0)</f>
        <v>0</v>
      </c>
      <c r="G24" s="50">
        <v>0</v>
      </c>
      <c r="H24" s="46">
        <f>IF(AND('SA Oct 2023'!R18&gt;0,'SA Oct 2023'!T18&gt;0),IF(($C$5&lt;'SA Oct 2023'!T18),(0),($C$5-'SA Oct 2023'!T18)*'SA Oct 2023'!U18/100),IF(AND('SA Oct 2023'!R18&gt;0,'SA Oct 2023'!T18=""),IF(($C$5&lt;'SA Oct 2023'!R18+'SA Oct 2023'!P18),(0),(($C$5-('SA Oct 2023'!R18+'SA Oct 2023'!P18))*'SA Oct 2023'!S18/100)),IF(AND('SA Oct 2023'!P18&gt;0,'SA Oct 2023'!R18=""&gt;0),IF(($C$5&lt;'SA Oct 2023'!P18),(0),($C$5-'SA Oct 2023'!P18)*'SA Oct 2023'!Q18/100),0)))</f>
        <v>0</v>
      </c>
      <c r="I24" s="52">
        <f t="shared" ref="I24:I25" si="17">SUM(C24:H24)</f>
        <v>2027.897909090909</v>
      </c>
      <c r="J24" s="111">
        <f t="shared" ref="J24:J25" si="18">(I24-C24)*4</f>
        <v>7494.545454545454</v>
      </c>
      <c r="K24" s="112">
        <f t="shared" ref="K24:K25" si="19">I24*4</f>
        <v>8111.5916363636361</v>
      </c>
      <c r="L24" s="53">
        <f t="shared" ref="L24:L25" si="20">K24*1.1</f>
        <v>8922.7507999999998</v>
      </c>
      <c r="M24" s="54">
        <f>'SA Oct 2023'!BB18</f>
        <v>0</v>
      </c>
      <c r="N24" s="54">
        <f>'SA Oct 2023'!BC18</f>
        <v>0</v>
      </c>
      <c r="O24" s="54">
        <f>'SA Oct 2023'!BD18</f>
        <v>0</v>
      </c>
      <c r="P24" s="54">
        <f>'SA Oct 2023'!BE18</f>
        <v>0</v>
      </c>
      <c r="Q24" s="110" t="str">
        <f t="shared" ref="Q24:Q25" si="21">IF(SUM(M24:P24)=0,"No discount",IF(M24&gt;0,"Guaranteed off bill",IF(N24&gt;0,"Guaranteed off usage",IF(O24&gt;0,"Pay-on-time off bill","Pay-on-time off usage"))))</f>
        <v>No discount</v>
      </c>
      <c r="R24" s="73" t="str">
        <f t="shared" ref="R24:R25" si="22">IF(OR(A24="Origin Energy",A24="Red Energy",A24="Powershop"),"Inclusive","Exclusive")</f>
        <v>Exclusive</v>
      </c>
      <c r="S24" s="111">
        <f t="shared" ref="S24:S25" si="23">IF(AND(Q24="Guaranteed off bill",R24="Inclusive"),((K24*1.1)-((K24*1.1)*M24/100))/1.1,IF(AND(Q24="Guaranteed off usage",R24="Inclusive"),((K24*1.1)-((J24*1.1)*N24/100))/1.1,IF(AND(Q24="Guaranteed off bill",R24="Exclusive"),K24-(K24*M24/100),IF(AND(Q24="Guaranteed off usage",R24="Exclusive"),K24-(J24*N24/100),IF(R24="Inclusive",((K24*1.1))/1.1,K24)))))</f>
        <v>8111.5916363636361</v>
      </c>
      <c r="T24" s="112">
        <f t="shared" ref="T24:T25" si="24">S24-(S24*O24/100)</f>
        <v>8111.5916363636361</v>
      </c>
      <c r="U24" s="97">
        <f t="shared" ref="U24:U25" si="25">S24*1.1</f>
        <v>8922.7507999999998</v>
      </c>
      <c r="V24" s="381">
        <f t="shared" ref="V24:V25" si="26">T24*1.1</f>
        <v>8922.7507999999998</v>
      </c>
      <c r="W24" s="383"/>
      <c r="X24" s="383"/>
      <c r="Y24" s="383"/>
      <c r="Z24" s="383"/>
      <c r="AA24" s="383"/>
      <c r="AB24" s="383"/>
      <c r="AC24" s="383"/>
      <c r="AD24" s="383"/>
      <c r="AE24" s="383"/>
      <c r="AF24" s="383"/>
      <c r="AG24" s="383"/>
      <c r="AH24" s="383"/>
      <c r="AI24" s="383"/>
      <c r="AJ24" s="383"/>
      <c r="AK24" s="383"/>
      <c r="AL24" s="383"/>
      <c r="AM24" s="383"/>
      <c r="AN24" s="383"/>
      <c r="AO24" s="383"/>
      <c r="AP24" s="383"/>
    </row>
    <row r="25" spans="1:42" ht="14" x14ac:dyDescent="0.15">
      <c r="A25" s="70" t="str">
        <f>'SA Oct 2023'!K19</f>
        <v>Future X Power</v>
      </c>
      <c r="B25" s="73" t="str">
        <f>'SA Oct 2023'!L19</f>
        <v>Market Offer</v>
      </c>
      <c r="C25" s="46">
        <f>IF('SA Oct 2023'!BP19=0,91*'SA Oct 2023'!M19/100,(91*'SA Oct 2023'!M19/100)+'SA Oct 2023'!BP19/4)</f>
        <v>129.36890909090909</v>
      </c>
      <c r="D25" s="46">
        <f>IF('SA Oct 2023'!O19="",$C$5*'SA Oct 2023'!N19/100,IF($C$5&gt;='SA Oct 2023'!P19,('SA Oct 2023'!P19*'SA Oct 2023'!N19/100),($C$5*'SA Oct 2023'!N19/100)))</f>
        <v>2392.7272727272725</v>
      </c>
      <c r="E25" s="46">
        <f>IF(AND('SA Oct 2023'!P19&gt;0,'SA Oct 2023'!R19&gt;0),IF($C$5&lt;'SA Oct 2023'!P19,0,IF($C$5&lt;=('SA Oct 2023'!R19+'SA Oct 2023'!P19),(($C$5-'SA Oct 2023'!P19)*'SA Oct 2023'!Q19/100),(('SA Oct 2023'!R19)*'SA Oct 2023'!Q19/100))),0)</f>
        <v>0</v>
      </c>
      <c r="F25" s="46">
        <f>IF(AND('SA Oct 2023'!Q19&gt;0,'SA Oct 2023'!S19&gt;0),IF($C$5&lt;('SA Oct 2023'!R19+'SA Oct 2023'!P19),0,IF($C$5&lt;=('SA Oct 2023'!T19+'SA Oct 2023'!R19+'SA Oct 2023'!P19),(($C$5-('SA Oct 2023'!R19+'SA Oct 2023'!P19))*'SA Oct 2023'!S19/100),('SA Oct 2023'!T19*'SA Oct 2023'!S19/100))),0)</f>
        <v>0</v>
      </c>
      <c r="G25" s="50">
        <v>0</v>
      </c>
      <c r="H25" s="46">
        <f>IF(AND('SA Oct 2023'!R19&gt;0,'SA Oct 2023'!T19&gt;0),IF(($C$5&lt;'SA Oct 2023'!T19),(0),($C$5-'SA Oct 2023'!T19)*'SA Oct 2023'!U19/100),IF(AND('SA Oct 2023'!R19&gt;0,'SA Oct 2023'!T19=""),IF(($C$5&lt;'SA Oct 2023'!R19+'SA Oct 2023'!P19),(0),(($C$5-('SA Oct 2023'!R19+'SA Oct 2023'!P19))*'SA Oct 2023'!S19/100)),IF(AND('SA Oct 2023'!P19&gt;0,'SA Oct 2023'!R19=""&gt;0),IF(($C$5&lt;'SA Oct 2023'!P19),(0),($C$5-'SA Oct 2023'!P19)*'SA Oct 2023'!Q19/100),0)))</f>
        <v>0</v>
      </c>
      <c r="I25" s="52">
        <f t="shared" si="17"/>
        <v>2522.0961818181818</v>
      </c>
      <c r="J25" s="111">
        <f t="shared" si="18"/>
        <v>9570.9090909090901</v>
      </c>
      <c r="K25" s="112">
        <f t="shared" si="19"/>
        <v>10088.384727272727</v>
      </c>
      <c r="L25" s="53">
        <f t="shared" si="20"/>
        <v>11097.2232</v>
      </c>
      <c r="M25" s="54">
        <f>'SA Oct 2023'!BB19</f>
        <v>0</v>
      </c>
      <c r="N25" s="54">
        <f>'SA Oct 2023'!BC19</f>
        <v>0</v>
      </c>
      <c r="O25" s="54">
        <f>'SA Oct 2023'!BD19</f>
        <v>0</v>
      </c>
      <c r="P25" s="54">
        <f>'SA Oct 2023'!BE19</f>
        <v>0</v>
      </c>
      <c r="Q25" s="110" t="str">
        <f t="shared" si="21"/>
        <v>No discount</v>
      </c>
      <c r="R25" s="73" t="str">
        <f t="shared" si="22"/>
        <v>Exclusive</v>
      </c>
      <c r="S25" s="111">
        <f t="shared" si="23"/>
        <v>10088.384727272727</v>
      </c>
      <c r="T25" s="112">
        <f t="shared" si="24"/>
        <v>10088.384727272727</v>
      </c>
      <c r="U25" s="97">
        <f t="shared" si="25"/>
        <v>11097.2232</v>
      </c>
      <c r="V25" s="381">
        <f t="shared" si="26"/>
        <v>11097.2232</v>
      </c>
      <c r="W25" s="383"/>
      <c r="X25" s="383"/>
      <c r="Y25" s="383"/>
      <c r="Z25" s="383"/>
      <c r="AA25" s="383"/>
      <c r="AB25" s="383"/>
      <c r="AC25" s="383"/>
      <c r="AD25" s="383"/>
      <c r="AE25" s="383"/>
      <c r="AF25" s="383"/>
      <c r="AG25" s="383"/>
      <c r="AH25" s="383"/>
      <c r="AI25" s="383"/>
      <c r="AJ25" s="383"/>
      <c r="AK25" s="383"/>
      <c r="AL25" s="383"/>
      <c r="AM25" s="383"/>
      <c r="AN25" s="383"/>
      <c r="AO25" s="383"/>
      <c r="AP25" s="383"/>
    </row>
    <row r="26" spans="1:42" ht="14" x14ac:dyDescent="0.15">
      <c r="A26" s="383"/>
      <c r="B26" s="383"/>
      <c r="C26" s="383"/>
      <c r="D26" s="386"/>
      <c r="E26" s="386"/>
      <c r="F26" s="386"/>
      <c r="G26" s="386"/>
      <c r="H26" s="386"/>
      <c r="I26" s="387"/>
      <c r="J26" s="387"/>
      <c r="K26" s="383"/>
      <c r="L26" s="383"/>
      <c r="M26" s="383"/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  <c r="AA26" s="383"/>
      <c r="AB26" s="383"/>
      <c r="AC26" s="383"/>
      <c r="AD26" s="383"/>
      <c r="AE26" s="383"/>
      <c r="AF26" s="383"/>
      <c r="AG26" s="383"/>
      <c r="AH26" s="383"/>
      <c r="AI26" s="383"/>
      <c r="AJ26" s="383"/>
      <c r="AK26" s="383"/>
      <c r="AL26" s="383"/>
      <c r="AM26" s="383"/>
      <c r="AN26" s="383"/>
      <c r="AO26" s="383"/>
      <c r="AP26" s="383"/>
    </row>
    <row r="27" spans="1:42" ht="15" thickBot="1" x14ac:dyDescent="0.2">
      <c r="A27" s="383"/>
      <c r="B27" s="383"/>
      <c r="C27" s="383"/>
      <c r="D27" s="383"/>
      <c r="E27" s="383"/>
      <c r="F27" s="383"/>
      <c r="G27" s="386"/>
      <c r="H27" s="386"/>
      <c r="I27" s="387"/>
      <c r="J27" s="387"/>
      <c r="K27" s="383"/>
      <c r="L27" s="383"/>
      <c r="M27" s="383"/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  <c r="AA27" s="383"/>
      <c r="AB27" s="383"/>
      <c r="AC27" s="383"/>
      <c r="AD27" s="383"/>
      <c r="AE27" s="383"/>
      <c r="AF27" s="383"/>
      <c r="AG27" s="383"/>
      <c r="AH27" s="383"/>
      <c r="AI27" s="383"/>
      <c r="AJ27" s="383"/>
      <c r="AK27" s="383"/>
      <c r="AL27" s="383"/>
      <c r="AM27" s="383"/>
      <c r="AN27" s="383"/>
      <c r="AO27" s="383"/>
      <c r="AP27" s="383"/>
    </row>
    <row r="28" spans="1:42" ht="14" x14ac:dyDescent="0.15">
      <c r="A28" s="36" t="s">
        <v>84</v>
      </c>
      <c r="B28" s="37"/>
      <c r="C28" s="37"/>
      <c r="D28" s="42"/>
      <c r="E28" s="42"/>
      <c r="F28" s="42"/>
      <c r="G28" s="42"/>
      <c r="H28" s="42"/>
      <c r="I28" s="43"/>
      <c r="J28" s="43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9"/>
      <c r="W28" s="383"/>
      <c r="X28" s="383"/>
      <c r="Y28" s="383"/>
      <c r="Z28" s="383"/>
      <c r="AA28" s="383"/>
      <c r="AB28" s="383"/>
      <c r="AC28" s="383"/>
      <c r="AD28" s="383"/>
      <c r="AE28" s="383"/>
      <c r="AF28" s="383"/>
      <c r="AG28" s="383"/>
      <c r="AH28" s="383"/>
      <c r="AI28" s="383"/>
      <c r="AJ28" s="383"/>
      <c r="AK28" s="383"/>
      <c r="AL28" s="383"/>
      <c r="AM28" s="383"/>
      <c r="AN28" s="383"/>
      <c r="AO28" s="383"/>
      <c r="AP28" s="383"/>
    </row>
    <row r="29" spans="1:42" ht="14" x14ac:dyDescent="0.15">
      <c r="A29" s="40" t="s">
        <v>197</v>
      </c>
      <c r="B29" s="38"/>
      <c r="C29" s="47">
        <v>5000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41"/>
      <c r="W29" s="383"/>
      <c r="X29" s="383"/>
      <c r="Y29" s="383"/>
      <c r="Z29" s="383"/>
      <c r="AA29" s="383"/>
      <c r="AB29" s="383"/>
      <c r="AC29" s="383"/>
      <c r="AD29" s="383"/>
      <c r="AE29" s="383"/>
      <c r="AF29" s="383"/>
      <c r="AG29" s="383"/>
      <c r="AH29" s="383"/>
      <c r="AI29" s="383"/>
      <c r="AJ29" s="383"/>
      <c r="AK29" s="383"/>
      <c r="AL29" s="383"/>
      <c r="AM29" s="383"/>
      <c r="AN29" s="383"/>
      <c r="AO29" s="383"/>
      <c r="AP29" s="383"/>
    </row>
    <row r="30" spans="1:42" ht="14" x14ac:dyDescent="0.15">
      <c r="A30" s="40" t="s">
        <v>85</v>
      </c>
      <c r="B30" s="38"/>
      <c r="C30" s="48">
        <v>0.7</v>
      </c>
      <c r="D30" s="44"/>
      <c r="E30" s="44"/>
      <c r="F30" s="44"/>
      <c r="G30" s="44"/>
      <c r="H30" s="44"/>
      <c r="I30" s="45"/>
      <c r="J30" s="45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41"/>
      <c r="W30" s="383"/>
      <c r="X30" s="383"/>
      <c r="Y30" s="383"/>
      <c r="Z30" s="383"/>
      <c r="AA30" s="383"/>
      <c r="AB30" s="383"/>
      <c r="AC30" s="383"/>
      <c r="AD30" s="383"/>
      <c r="AE30" s="383"/>
      <c r="AF30" s="383"/>
      <c r="AG30" s="383"/>
      <c r="AH30" s="383"/>
      <c r="AI30" s="383"/>
      <c r="AJ30" s="383"/>
      <c r="AK30" s="383"/>
      <c r="AL30" s="383"/>
      <c r="AM30" s="383"/>
      <c r="AN30" s="383"/>
      <c r="AO30" s="383"/>
      <c r="AP30" s="383"/>
    </row>
    <row r="31" spans="1:42" ht="14" x14ac:dyDescent="0.15">
      <c r="A31" s="40" t="s">
        <v>171</v>
      </c>
      <c r="B31" s="38"/>
      <c r="C31" s="48">
        <v>0.3</v>
      </c>
      <c r="D31" s="44"/>
      <c r="E31" s="44"/>
      <c r="F31" s="44"/>
      <c r="G31" s="44"/>
      <c r="H31" s="44"/>
      <c r="I31" s="45"/>
      <c r="J31" s="45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41"/>
      <c r="W31" s="383"/>
      <c r="X31" s="383"/>
      <c r="Y31" s="383"/>
      <c r="Z31" s="383"/>
      <c r="AA31" s="383"/>
      <c r="AB31" s="383"/>
      <c r="AC31" s="383"/>
      <c r="AD31" s="383"/>
      <c r="AE31" s="383"/>
      <c r="AF31" s="383"/>
      <c r="AG31" s="383"/>
      <c r="AH31" s="383"/>
      <c r="AI31" s="383"/>
      <c r="AJ31" s="383"/>
      <c r="AK31" s="383"/>
      <c r="AL31" s="383"/>
      <c r="AM31" s="383"/>
      <c r="AN31" s="383"/>
      <c r="AO31" s="383"/>
      <c r="AP31" s="383"/>
    </row>
    <row r="32" spans="1:42" ht="14" x14ac:dyDescent="0.15">
      <c r="A32" s="40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88"/>
      <c r="S32" s="88"/>
      <c r="T32" s="88"/>
      <c r="U32" s="88"/>
      <c r="V32" s="41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3"/>
      <c r="AI32" s="383"/>
      <c r="AJ32" s="383"/>
      <c r="AK32" s="383"/>
      <c r="AL32" s="383"/>
      <c r="AM32" s="383"/>
      <c r="AN32" s="383"/>
      <c r="AO32" s="383"/>
      <c r="AP32" s="383"/>
    </row>
    <row r="33" spans="1:42" ht="75" x14ac:dyDescent="0.15">
      <c r="A33" s="317" t="s">
        <v>216</v>
      </c>
      <c r="B33" s="272" t="s">
        <v>198</v>
      </c>
      <c r="C33" s="274" t="s">
        <v>199</v>
      </c>
      <c r="D33" s="274" t="s">
        <v>200</v>
      </c>
      <c r="E33" s="274" t="s">
        <v>201</v>
      </c>
      <c r="F33" s="274" t="s">
        <v>164</v>
      </c>
      <c r="G33" s="274" t="s">
        <v>84</v>
      </c>
      <c r="H33" s="274" t="s">
        <v>233</v>
      </c>
      <c r="I33" s="274" t="s">
        <v>165</v>
      </c>
      <c r="J33" s="275" t="s">
        <v>544</v>
      </c>
      <c r="K33" s="276" t="s">
        <v>166</v>
      </c>
      <c r="L33" s="277" t="s">
        <v>545</v>
      </c>
      <c r="M33" s="278" t="s">
        <v>167</v>
      </c>
      <c r="N33" s="278" t="s">
        <v>168</v>
      </c>
      <c r="O33" s="278" t="s">
        <v>169</v>
      </c>
      <c r="P33" s="278" t="s">
        <v>170</v>
      </c>
      <c r="Q33" s="279" t="s">
        <v>541</v>
      </c>
      <c r="R33" s="279" t="s">
        <v>542</v>
      </c>
      <c r="S33" s="280" t="s">
        <v>546</v>
      </c>
      <c r="T33" s="280" t="s">
        <v>547</v>
      </c>
      <c r="U33" s="281" t="s">
        <v>227</v>
      </c>
      <c r="V33" s="380" t="s">
        <v>272</v>
      </c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</row>
    <row r="34" spans="1:42" ht="14" x14ac:dyDescent="0.15">
      <c r="A34" s="70" t="str">
        <f>'SA Oct 2023'!K20</f>
        <v>AGL</v>
      </c>
      <c r="B34" s="49" t="str">
        <f>'SA Oct 2023'!L20</f>
        <v>Business Value Saver</v>
      </c>
      <c r="C34" s="46">
        <f>IF('SA Oct 2023'!BP20=0,91*'SA Oct 2023'!M20/100,(91*'SA Oct 2023'!M20/100)+'SA Oct 2023'!BP20/4)</f>
        <v>101.65527272727272</v>
      </c>
      <c r="D34" s="46">
        <f>IF('SA Oct 2023'!O20="",$C$29*$C$30*'SA Oct 2023'!N20/100,IF($C$29*$C$30&gt;='SA Oct 2023'!P20,('SA Oct 2023'!P20*'SA Oct 2023'!N20/100),($C$29*$C$30*'SA Oct 2023'!N20/100)))</f>
        <v>1601.7272727272727</v>
      </c>
      <c r="E34" s="46">
        <f>IF(AND('SA Oct 2023'!P20&gt;0,'SA Oct 2023'!R20&gt;0),IF($C$29*$C$30&lt;'SA Oct 2023'!P20,0,IF($C$29*$C$30&lt;=('SA Oct 2023'!R20+'SA Oct 2023'!P20),(($C$29*$C$30-'SA Oct 2023'!P20)*'SA Oct 2023'!Q20/100),(('SA Oct 2023'!R20)*'SA Oct 2023'!Q20/100))),0)</f>
        <v>0</v>
      </c>
      <c r="F34" s="46">
        <f>IF(AND('SA Oct 2023'!R20&gt;0,'SA Oct 2023'!T20&gt;0),IF(($C$29*$C$30&lt;'SA Oct 2023'!T20),(0),($C$29*$C$30-'SA Oct 2023'!T20)*'SA Oct 2023'!U20/100),IF(AND('SA Oct 2023'!R20&gt;0,'SA Oct 2023'!T20=""),IF(($C$29*$C$30&lt;'SA Oct 2023'!R20+'SA Oct 2023'!P20),(0),(($C$29*$C$30-('SA Oct 2023'!R20+'SA Oct 2023'!P20))*'SA Oct 2023'!S20/100)),IF(AND('SA Oct 2023'!P20&gt;0,'SA Oct 2023'!R20=""&gt;0),IF(($C$29*$C$30&lt;'SA Oct 2023'!P20),(0),($C$29*$C$30-'SA Oct 2023'!P20)*'SA Oct 2023'!Q20/100),0)))</f>
        <v>0</v>
      </c>
      <c r="G34" s="50">
        <f>($C$29*$C$31)*'SA Oct 2023'!AF20/100</f>
        <v>293.86363636363637</v>
      </c>
      <c r="H34" s="51">
        <v>0</v>
      </c>
      <c r="I34" s="52">
        <f t="shared" ref="I34:I49" si="27">SUM(C34:G34)</f>
        <v>1997.2461818181819</v>
      </c>
      <c r="J34" s="109">
        <f>(I34-C34)*4</f>
        <v>7582.3636363636369</v>
      </c>
      <c r="K34" s="109">
        <f t="shared" ref="K34:K49" si="28">I34*4</f>
        <v>7988.9847272727275</v>
      </c>
      <c r="L34" s="53">
        <f t="shared" ref="L34:L49" si="29">K34*1.1</f>
        <v>8787.8832000000002</v>
      </c>
      <c r="M34" s="54">
        <f>'SA Oct 2023'!BB20</f>
        <v>0</v>
      </c>
      <c r="N34" s="54">
        <f>'SA Oct 2023'!BC20</f>
        <v>0</v>
      </c>
      <c r="O34" s="54">
        <f>'SA Oct 2023'!BD20</f>
        <v>0</v>
      </c>
      <c r="P34" s="54">
        <f>'SA Oct 2023'!BE20</f>
        <v>0</v>
      </c>
      <c r="Q34" s="110" t="str">
        <f t="shared" ref="Q34:Q38" si="30">IF(SUM(M34:P34)=0,"No discount",IF(M34&gt;0,"Guaranteed off bill",IF(N34&gt;0,"Guaranteed off usage",IF(O34&gt;0,"Pay-on-time off bill","Pay-on-time off usage"))))</f>
        <v>No discount</v>
      </c>
      <c r="R34" s="73" t="str">
        <f t="shared" ref="R34:R49" si="31">IF(OR(A34="Origin Energy",A34="Red Energy",A34="Powershop"),"Inclusive","Exclusive")</f>
        <v>Exclusive</v>
      </c>
      <c r="S34" s="111">
        <f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7988.9847272727275</v>
      </c>
      <c r="T34" s="112">
        <f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7988.9847272727275</v>
      </c>
      <c r="U34" s="97">
        <f>S34*1.1</f>
        <v>8787.8832000000002</v>
      </c>
      <c r="V34" s="381">
        <f>T34*1.1</f>
        <v>8787.8832000000002</v>
      </c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383"/>
      <c r="AH34" s="383"/>
      <c r="AI34" s="383"/>
      <c r="AJ34" s="383"/>
      <c r="AK34" s="383"/>
      <c r="AL34" s="383"/>
      <c r="AM34" s="383"/>
      <c r="AN34" s="383"/>
      <c r="AO34" s="383"/>
      <c r="AP34" s="383"/>
    </row>
    <row r="35" spans="1:42" ht="14" x14ac:dyDescent="0.15">
      <c r="A35" s="70" t="str">
        <f>'SA Oct 2023'!K21</f>
        <v>Alinta Energy</v>
      </c>
      <c r="B35" s="49" t="str">
        <f>'SA Oct 2023'!L21</f>
        <v>BusinessDeal</v>
      </c>
      <c r="C35" s="46">
        <f>IF('SA Oct 2023'!BP21=0,91*'SA Oct 2023'!M21/100,(91*'SA Oct 2023'!M21/100)+'SA Oct 2023'!BP21/4)</f>
        <v>103.53318181818182</v>
      </c>
      <c r="D35" s="46">
        <f>IF('SA Oct 2023'!O21="",$C$29*$C$30*'SA Oct 2023'!N21/100,IF($C$29*$C$30&gt;='SA Oct 2023'!P21,('SA Oct 2023'!P21*'SA Oct 2023'!N21/100),($C$29*$C$30*'SA Oct 2023'!N21/100)))</f>
        <v>1710.5454545454545</v>
      </c>
      <c r="E35" s="46">
        <f>IF(AND('SA Oct 2023'!P21&gt;0,'SA Oct 2023'!R21&gt;0),IF($C$29*$C$30&lt;'SA Oct 2023'!P21,0,IF($C$29*$C$30&lt;=('SA Oct 2023'!R21+'SA Oct 2023'!P21),(($C$29*$C$30-'SA Oct 2023'!P21)*'SA Oct 2023'!Q21/100),(('SA Oct 2023'!R21)*'SA Oct 2023'!Q21/100))),0)</f>
        <v>0</v>
      </c>
      <c r="F35" s="46">
        <f>IF(AND('SA Oct 2023'!R21&gt;0,'SA Oct 2023'!T21&gt;0),IF(($C$29*$C$30&lt;'SA Oct 2023'!T21),(0),($C$29*$C$30-'SA Oct 2023'!T21)*'SA Oct 2023'!U21/100),IF(AND('SA Oct 2023'!R21&gt;0,'SA Oct 2023'!T21=""),IF(($C$29*$C$30&lt;'SA Oct 2023'!R21+'SA Oct 2023'!P21),(0),(($C$29*$C$30-('SA Oct 2023'!R21+'SA Oct 2023'!P21))*'SA Oct 2023'!S21/100)),IF(AND('SA Oct 2023'!P21&gt;0,'SA Oct 2023'!R21=""&gt;0),IF(($C$29*$C$30&lt;'SA Oct 2023'!P21),(0),($C$29*$C$30-'SA Oct 2023'!P21)*'SA Oct 2023'!Q21/100),0)))</f>
        <v>0</v>
      </c>
      <c r="G35" s="50">
        <f>($C$29*$C$31)*'SA Oct 2023'!AF21/100</f>
        <v>311.72727272727275</v>
      </c>
      <c r="H35" s="51">
        <f>IF($C$29*$C$31&lt;'SA Oct 2023'!AG21,(0),((('SA Bills Oct 2023'!$C$29*'SA Bills Oct 2023'!$C$31)-('SA Oct 2023'!AG21))*'SA Oct 2023'!AH21/100))</f>
        <v>0</v>
      </c>
      <c r="I35" s="52">
        <f t="shared" si="27"/>
        <v>2125.8059090909092</v>
      </c>
      <c r="J35" s="109">
        <f t="shared" ref="J35:J49" si="32">(I35-C35)*4</f>
        <v>8089.090909090909</v>
      </c>
      <c r="K35" s="109">
        <f t="shared" si="28"/>
        <v>8503.2236363636366</v>
      </c>
      <c r="L35" s="53">
        <f t="shared" si="29"/>
        <v>9353.5460000000003</v>
      </c>
      <c r="M35" s="54">
        <f>'SA Oct 2023'!BB21</f>
        <v>0</v>
      </c>
      <c r="N35" s="54">
        <f>'SA Oct 2023'!BC21</f>
        <v>0</v>
      </c>
      <c r="O35" s="54">
        <f>'SA Oct 2023'!BD21</f>
        <v>0</v>
      </c>
      <c r="P35" s="54">
        <f>'SA Oct 2023'!BE21</f>
        <v>0</v>
      </c>
      <c r="Q35" s="110" t="str">
        <f t="shared" si="30"/>
        <v>No discount</v>
      </c>
      <c r="R35" s="73" t="str">
        <f t="shared" si="31"/>
        <v>Exclusive</v>
      </c>
      <c r="S35" s="111">
        <f>IF(AND(Q35="Guaranteed off bill",R35="Inclusive"),((K35*1.1)-((K35*1.1)*M35/100))/1.1,IF(AND(Q35="Guaranteed off usage",R35="Inclusive"),((K35*1.1)-((J35*1.1)*N35/100))/1.1,IF(AND(Q35="Guaranteed off bill",R35="Exclusive"),K35-(K35*M35/100),IF(AND(Q35="Guaranteed off usage",R35="Exclusive"),K35-(J35*N35/100),IF(R35="Inclusive",((K35*1.1))/1.1,K35)))))</f>
        <v>8503.2236363636366</v>
      </c>
      <c r="T35" s="112">
        <f>IF(AND(Q35="Pay-on-time off bill",R35="Inclusive"),((S35*1.1)-((S35*1.1)*O35/100))/1.1,IF(AND(Q35="Pay-on-time off usage",R35="Inclusive"),((S35*1.1)-((J35*1.1)*P35/100))/1.1,IF(AND(Q35="Pay-on-time off bill",R35="Exclusive"),S35-(S35*O35/100),IF(AND(Q35="Pay-on-time off usage",R35="Exclusive"),S35-(J35*P35/100),IF(R35="Inclusive",((S35*1.1))/1.1,S35)))))</f>
        <v>8503.2236363636366</v>
      </c>
      <c r="U35" s="97">
        <f t="shared" ref="U35:V49" si="33">S35*1.1</f>
        <v>9353.5460000000003</v>
      </c>
      <c r="V35" s="381">
        <f t="shared" si="33"/>
        <v>9353.5460000000003</v>
      </c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3"/>
      <c r="AI35" s="383"/>
      <c r="AJ35" s="383"/>
      <c r="AK35" s="383"/>
      <c r="AL35" s="383"/>
      <c r="AM35" s="383"/>
      <c r="AN35" s="383"/>
      <c r="AO35" s="383"/>
      <c r="AP35" s="383"/>
    </row>
    <row r="36" spans="1:42" ht="14" x14ac:dyDescent="0.15">
      <c r="A36" s="70" t="str">
        <f>'SA Oct 2023'!K22</f>
        <v>Diamond Energy</v>
      </c>
      <c r="B36" s="49" t="str">
        <f>'SA Oct 2023'!L22</f>
        <v xml:space="preserve">Renewable Saver </v>
      </c>
      <c r="C36" s="46">
        <f>IF('SA Oct 2023'!BP22=0,91*'SA Oct 2023'!M22/100,(91*'SA Oct 2023'!M22/100)+'SA Oct 2023'!BP22/4)</f>
        <v>85.995000000000005</v>
      </c>
      <c r="D36" s="46">
        <f>IF('SA Oct 2023'!O22="",$C$29*$C$30*'SA Oct 2023'!N22/100,IF($C$29*$C$30&gt;='SA Oct 2023'!P22,('SA Oct 2023'!P22*'SA Oct 2023'!N22/100),($C$29*$C$30*'SA Oct 2023'!N22/100)))</f>
        <v>485</v>
      </c>
      <c r="E36" s="46">
        <f>IF(AND('SA Oct 2023'!P22&gt;0,'SA Oct 2023'!R22&gt;0),IF($C$29*$C$30&lt;'SA Oct 2023'!P22,0,IF($C$29*$C$30&lt;=('SA Oct 2023'!R22+'SA Oct 2023'!P22),(($C$29*$C$30-'SA Oct 2023'!P22)*'SA Oct 2023'!Q22/100),(('SA Oct 2023'!R22)*'SA Oct 2023'!Q22/100))),0)</f>
        <v>0</v>
      </c>
      <c r="F36" s="46">
        <f>IF(AND('SA Oct 2023'!R22&gt;0,'SA Oct 2023'!T22&gt;0),IF(($C$29*$C$30&lt;'SA Oct 2023'!T22),(0),($C$29*$C$30-'SA Oct 2023'!T22)*'SA Oct 2023'!U22/100),IF(AND('SA Oct 2023'!R22&gt;0,'SA Oct 2023'!T22=""),IF(($C$29*$C$30&lt;'SA Oct 2023'!R22+'SA Oct 2023'!P22),(0),(($C$29*$C$30-('SA Oct 2023'!R22+'SA Oct 2023'!P22))*'SA Oct 2023'!S22/100)),IF(AND('SA Oct 2023'!P22&gt;0,'SA Oct 2023'!R22=""&gt;0),IF(($C$29*$C$30&lt;'SA Oct 2023'!P22),(0),($C$29*$C$30-'SA Oct 2023'!P22)*'SA Oct 2023'!Q22/100),0)))</f>
        <v>1261.3636363636363</v>
      </c>
      <c r="G36" s="50">
        <f>($C$29*$C$31)*'SA Oct 2023'!AF22/100</f>
        <v>308.99999999999994</v>
      </c>
      <c r="H36" s="51">
        <v>0</v>
      </c>
      <c r="I36" s="52">
        <f t="shared" si="27"/>
        <v>2141.3586363636364</v>
      </c>
      <c r="J36" s="109">
        <f t="shared" si="32"/>
        <v>8221.454545454546</v>
      </c>
      <c r="K36" s="109">
        <f t="shared" si="28"/>
        <v>8565.4345454545455</v>
      </c>
      <c r="L36" s="53">
        <f t="shared" si="29"/>
        <v>9421.978000000001</v>
      </c>
      <c r="M36" s="54">
        <f>'SA Oct 2023'!BB22</f>
        <v>0</v>
      </c>
      <c r="N36" s="54">
        <f>'SA Oct 2023'!BC22</f>
        <v>0</v>
      </c>
      <c r="O36" s="54">
        <f>'SA Oct 2023'!BD22</f>
        <v>2</v>
      </c>
      <c r="P36" s="54">
        <f>'SA Oct 2023'!BE22</f>
        <v>0</v>
      </c>
      <c r="Q36" s="110" t="str">
        <f t="shared" si="30"/>
        <v>Pay-on-time off bill</v>
      </c>
      <c r="R36" s="73" t="str">
        <f t="shared" si="31"/>
        <v>Exclusive</v>
      </c>
      <c r="S36" s="111">
        <f t="shared" ref="S36:S49" si="34">IF(AND(Q36="Guaranteed off bill",R36="Inclusive"),((K36*1.1)-((K36*1.1)*M36/100))/1.1,IF(AND(Q36="Guaranteed off usage",R36="Inclusive"),((K36*1.1)-((J36*1.1)*N36/100))/1.1,IF(AND(Q36="Guaranteed off bill",R36="Exclusive"),K36-(K36*M36/100),IF(AND(Q36="Guaranteed off usage",R36="Exclusive"),K36-(J36*N36/100),IF(R36="Inclusive",((K36*1.1))/1.1,K36)))))</f>
        <v>8565.4345454545455</v>
      </c>
      <c r="T36" s="112">
        <f t="shared" ref="T36:T49" si="35">IF(AND(Q36="Pay-on-time off bill",R36="Inclusive"),((S36*1.1)-((S36*1.1)*O36/100))/1.1,IF(AND(Q36="Pay-on-time off usage",R36="Inclusive"),((S36*1.1)-((J36*1.1)*P36/100))/1.1,IF(AND(Q36="Pay-on-time off bill",R36="Exclusive"),S36-(S36*O36/100),IF(AND(Q36="Pay-on-time off usage",R36="Exclusive"),S36-(J36*P36/100),IF(R36="Inclusive",((S36*1.1))/1.1,S36)))))</f>
        <v>8394.1258545454548</v>
      </c>
      <c r="U36" s="97">
        <f t="shared" si="33"/>
        <v>9421.978000000001</v>
      </c>
      <c r="V36" s="381">
        <f t="shared" si="33"/>
        <v>9233.5384400000003</v>
      </c>
      <c r="W36" s="383"/>
      <c r="X36" s="383"/>
      <c r="Y36" s="383"/>
      <c r="Z36" s="383"/>
      <c r="AA36" s="383"/>
      <c r="AB36" s="383"/>
      <c r="AC36" s="383"/>
      <c r="AD36" s="383"/>
      <c r="AE36" s="383"/>
      <c r="AF36" s="383"/>
      <c r="AG36" s="383"/>
      <c r="AH36" s="383"/>
      <c r="AI36" s="383"/>
      <c r="AJ36" s="383"/>
      <c r="AK36" s="383"/>
      <c r="AL36" s="383"/>
      <c r="AM36" s="383"/>
      <c r="AN36" s="383"/>
      <c r="AO36" s="383"/>
      <c r="AP36" s="383"/>
    </row>
    <row r="37" spans="1:42" ht="14" x14ac:dyDescent="0.15">
      <c r="A37" s="70" t="str">
        <f>'SA Oct 2023'!K23</f>
        <v>EnergyAustralia</v>
      </c>
      <c r="B37" s="49" t="str">
        <f>'SA Oct 2023'!L23</f>
        <v>Balance Plan</v>
      </c>
      <c r="C37" s="46">
        <f>IF('SA Oct 2023'!BP23=0,91*'SA Oct 2023'!M23/100,(91*'SA Oct 2023'!M23/100)+'SA Oct 2023'!BP23/4)</f>
        <v>105.65099999999998</v>
      </c>
      <c r="D37" s="46">
        <f>IF('SA Oct 2023'!O23="",$C$29*$C$30*'SA Oct 2023'!N23/100,IF($C$29*$C$30&gt;='SA Oct 2023'!P23,('SA Oct 2023'!P23*'SA Oct 2023'!N23/100),($C$29*$C$30*'SA Oct 2023'!N23/100)))</f>
        <v>1707.6818181818182</v>
      </c>
      <c r="E37" s="46">
        <f>IF(AND('SA Oct 2023'!P23&gt;0,'SA Oct 2023'!R23&gt;0),IF($C$29*$C$30&lt;'SA Oct 2023'!P23,0,IF($C$29*$C$30&lt;=('SA Oct 2023'!R23+'SA Oct 2023'!P23),(($C$29*$C$30-'SA Oct 2023'!P23)*'SA Oct 2023'!Q23/100),(('SA Oct 2023'!R23)*'SA Oct 2023'!Q23/100))),0)</f>
        <v>0</v>
      </c>
      <c r="F37" s="46">
        <f>IF(AND('SA Oct 2023'!R23&gt;0,'SA Oct 2023'!T23&gt;0),IF(($C$29*$C$30&lt;'SA Oct 2023'!T23),(0),($C$29*$C$30-'SA Oct 2023'!T23)*'SA Oct 2023'!U23/100),IF(AND('SA Oct 2023'!R23&gt;0,'SA Oct 2023'!T23=""),IF(($C$29*$C$30&lt;'SA Oct 2023'!R23+'SA Oct 2023'!P23),(0),(($C$29*$C$30-('SA Oct 2023'!R23+'SA Oct 2023'!P23))*'SA Oct 2023'!S23/100)),IF(AND('SA Oct 2023'!P23&gt;0,'SA Oct 2023'!R23=""&gt;0),IF(($C$29*$C$30&lt;'SA Oct 2023'!P23),(0),($C$29*$C$30-'SA Oct 2023'!P23)*'SA Oct 2023'!Q23/100),0)))</f>
        <v>0</v>
      </c>
      <c r="G37" s="50">
        <f>($C$29*$C$31)*'SA Oct 2023'!AF23/100</f>
        <v>311.99999999999994</v>
      </c>
      <c r="H37" s="51">
        <v>0</v>
      </c>
      <c r="I37" s="52">
        <f t="shared" si="27"/>
        <v>2125.3328181818183</v>
      </c>
      <c r="J37" s="109">
        <f t="shared" si="32"/>
        <v>8078.727272727273</v>
      </c>
      <c r="K37" s="109">
        <f t="shared" si="28"/>
        <v>8501.3312727272732</v>
      </c>
      <c r="L37" s="53">
        <f t="shared" si="29"/>
        <v>9351.4644000000008</v>
      </c>
      <c r="M37" s="54">
        <f>'SA Oct 2023'!BB23</f>
        <v>7</v>
      </c>
      <c r="N37" s="54">
        <f>'SA Oct 2023'!BC23</f>
        <v>0</v>
      </c>
      <c r="O37" s="54">
        <f>'SA Oct 2023'!BD23</f>
        <v>0</v>
      </c>
      <c r="P37" s="54">
        <f>'SA Oct 2023'!BE23</f>
        <v>0</v>
      </c>
      <c r="Q37" s="110" t="str">
        <f t="shared" si="30"/>
        <v>Guaranteed off bill</v>
      </c>
      <c r="R37" s="73" t="str">
        <f t="shared" si="31"/>
        <v>Exclusive</v>
      </c>
      <c r="S37" s="111">
        <f t="shared" si="34"/>
        <v>7906.2380836363645</v>
      </c>
      <c r="T37" s="112">
        <f t="shared" si="35"/>
        <v>7906.2380836363645</v>
      </c>
      <c r="U37" s="97">
        <f t="shared" si="33"/>
        <v>8696.8618920000008</v>
      </c>
      <c r="V37" s="381">
        <f t="shared" si="33"/>
        <v>8696.8618920000008</v>
      </c>
      <c r="W37" s="383"/>
      <c r="X37" s="383"/>
      <c r="Y37" s="383"/>
      <c r="Z37" s="383"/>
      <c r="AA37" s="383"/>
      <c r="AB37" s="383"/>
      <c r="AC37" s="383"/>
      <c r="AD37" s="383"/>
      <c r="AE37" s="383"/>
      <c r="AF37" s="383"/>
      <c r="AG37" s="383"/>
      <c r="AH37" s="383"/>
      <c r="AI37" s="383"/>
      <c r="AJ37" s="383"/>
      <c r="AK37" s="383"/>
      <c r="AL37" s="383"/>
      <c r="AM37" s="383"/>
      <c r="AN37" s="383"/>
      <c r="AO37" s="383"/>
      <c r="AP37" s="383"/>
    </row>
    <row r="38" spans="1:42" ht="14" x14ac:dyDescent="0.15">
      <c r="A38" s="70" t="str">
        <f>'SA Oct 2023'!K24</f>
        <v>Lumo Energy</v>
      </c>
      <c r="B38" s="49" t="str">
        <f>'SA Oct 2023'!L24</f>
        <v>Basic</v>
      </c>
      <c r="C38" s="46">
        <f>IF('SA Oct 2023'!BP24=0,91*'SA Oct 2023'!M24/100,(91*'SA Oct 2023'!M24/100)+'SA Oct 2023'!BP24/4)</f>
        <v>118.3</v>
      </c>
      <c r="D38" s="46">
        <f>IF('SA Oct 2023'!O24="",$C$29*$C$30*'SA Oct 2023'!N24/100,IF($C$29*$C$30&gt;='SA Oct 2023'!P24,('SA Oct 2023'!P24*'SA Oct 2023'!N24/100),($C$29*$C$30*'SA Oct 2023'!N24/100)))</f>
        <v>1539.9999999999998</v>
      </c>
      <c r="E38" s="46">
        <f>IF(AND('SA Oct 2023'!P24&gt;0,'SA Oct 2023'!R24&gt;0),IF($C$29*$C$30&lt;'SA Oct 2023'!P24,0,IF($C$29*$C$30&lt;=('SA Oct 2023'!R24+'SA Oct 2023'!P24),(($C$29*$C$30-'SA Oct 2023'!P24)*'SA Oct 2023'!Q24/100),(('SA Oct 2023'!R24)*'SA Oct 2023'!Q24/100))),0)</f>
        <v>0</v>
      </c>
      <c r="F38" s="46">
        <f>IF(AND('SA Oct 2023'!R24&gt;0,'SA Oct 2023'!T24&gt;0),IF(($C$29*$C$30&lt;'SA Oct 2023'!T24),(0),($C$29*$C$30-'SA Oct 2023'!T24)*'SA Oct 2023'!U24/100),IF(AND('SA Oct 2023'!R24&gt;0,'SA Oct 2023'!T24=""),IF(($C$29*$C$30&lt;'SA Oct 2023'!R24+'SA Oct 2023'!P24),(0),(($C$29*$C$30-('SA Oct 2023'!R24+'SA Oct 2023'!P24))*'SA Oct 2023'!S24/100)),IF(AND('SA Oct 2023'!P24&gt;0,'SA Oct 2023'!R24=""&gt;0),IF(($C$29*$C$30&lt;'SA Oct 2023'!P24),(0),($C$29*$C$30-'SA Oct 2023'!P24)*'SA Oct 2023'!Q24/100),0)))</f>
        <v>0</v>
      </c>
      <c r="G38" s="50">
        <f>($C$29*$C$31)*'SA Oct 2023'!AF24/100</f>
        <v>284.72727272727275</v>
      </c>
      <c r="H38" s="51">
        <v>1</v>
      </c>
      <c r="I38" s="52">
        <f t="shared" si="27"/>
        <v>1943.0272727272725</v>
      </c>
      <c r="J38" s="109">
        <f t="shared" si="32"/>
        <v>7298.9090909090901</v>
      </c>
      <c r="K38" s="109">
        <f t="shared" si="28"/>
        <v>7772.1090909090899</v>
      </c>
      <c r="L38" s="53">
        <f t="shared" si="29"/>
        <v>8549.32</v>
      </c>
      <c r="M38" s="54">
        <f>'SA Oct 2023'!BB24</f>
        <v>0</v>
      </c>
      <c r="N38" s="54">
        <f>'SA Oct 2023'!BC24</f>
        <v>0</v>
      </c>
      <c r="O38" s="54">
        <f>'SA Oct 2023'!BD24</f>
        <v>0</v>
      </c>
      <c r="P38" s="54">
        <f>'SA Oct 2023'!BE24</f>
        <v>0</v>
      </c>
      <c r="Q38" s="110" t="str">
        <f t="shared" si="30"/>
        <v>No discount</v>
      </c>
      <c r="R38" s="73" t="str">
        <f t="shared" si="31"/>
        <v>Exclusive</v>
      </c>
      <c r="S38" s="111">
        <f t="shared" si="34"/>
        <v>7772.1090909090899</v>
      </c>
      <c r="T38" s="112">
        <f t="shared" si="35"/>
        <v>7772.1090909090899</v>
      </c>
      <c r="U38" s="97">
        <f t="shared" si="33"/>
        <v>8549.32</v>
      </c>
      <c r="V38" s="381">
        <f t="shared" si="33"/>
        <v>8549.32</v>
      </c>
      <c r="W38" s="383"/>
      <c r="X38" s="383"/>
      <c r="Y38" s="383"/>
      <c r="Z38" s="383"/>
      <c r="AA38" s="383"/>
      <c r="AB38" s="383"/>
      <c r="AC38" s="383"/>
      <c r="AD38" s="383"/>
      <c r="AE38" s="383"/>
      <c r="AF38" s="383"/>
      <c r="AG38" s="383"/>
      <c r="AH38" s="383"/>
      <c r="AI38" s="383"/>
      <c r="AJ38" s="383"/>
      <c r="AK38" s="383"/>
      <c r="AL38" s="383"/>
      <c r="AM38" s="383"/>
      <c r="AN38" s="383"/>
      <c r="AO38" s="383"/>
      <c r="AP38" s="383"/>
    </row>
    <row r="39" spans="1:42" ht="14" x14ac:dyDescent="0.15">
      <c r="A39" s="70" t="str">
        <f>'SA Oct 2023'!K25</f>
        <v>Origin Energy</v>
      </c>
      <c r="B39" s="49" t="str">
        <f>'SA Oct 2023'!L25</f>
        <v>Go Variable</v>
      </c>
      <c r="C39" s="46">
        <f>IF('SA Oct 2023'!BP25=0,91*'SA Oct 2023'!M25/100,(91*'SA Oct 2023'!M25/100)+'SA Oct 2023'!BP25/4)</f>
        <v>89.527454545454546</v>
      </c>
      <c r="D39" s="46">
        <f>IF('SA Oct 2023'!O25="",$C$29*$C$30*'SA Oct 2023'!N25/100,IF($C$29*$C$30&gt;='SA Oct 2023'!P25,('SA Oct 2023'!P25*'SA Oct 2023'!N25/100),($C$29*$C$30*'SA Oct 2023'!N25/100)))</f>
        <v>1563.2272727272727</v>
      </c>
      <c r="E39" s="46">
        <f>IF(AND('SA Oct 2023'!P25&gt;0,'SA Oct 2023'!R25&gt;0),IF($C$29*$C$30&lt;'SA Oct 2023'!P25,0,IF($C$29*$C$30&lt;=('SA Oct 2023'!R25+'SA Oct 2023'!P25),(($C$29*$C$30-'SA Oct 2023'!P25)*'SA Oct 2023'!Q25/100),(('SA Oct 2023'!R25)*'SA Oct 2023'!Q25/100))),0)</f>
        <v>0</v>
      </c>
      <c r="F39" s="46">
        <f>IF(AND('SA Oct 2023'!R25&gt;0,'SA Oct 2023'!T25&gt;0),IF(($C$29*$C$30&lt;'SA Oct 2023'!T25),(0),($C$29*$C$30-'SA Oct 2023'!T25)*'SA Oct 2023'!U25/100),IF(AND('SA Oct 2023'!R25&gt;0,'SA Oct 2023'!T25=""),IF(($C$29*$C$30&lt;'SA Oct 2023'!R25+'SA Oct 2023'!P25),(0),(($C$29*$C$30-('SA Oct 2023'!R25+'SA Oct 2023'!P25))*'SA Oct 2023'!S25/100)),IF(AND('SA Oct 2023'!P25&gt;0,'SA Oct 2023'!R25=""&gt;0),IF(($C$29*$C$30&lt;'SA Oct 2023'!P25),(0),($C$29*$C$30-'SA Oct 2023'!P25)*'SA Oct 2023'!Q25/100),0)))</f>
        <v>0</v>
      </c>
      <c r="G39" s="50">
        <f>($C$29*$C$31)*'SA Oct 2023'!AF25/100</f>
        <v>279.40909090909088</v>
      </c>
      <c r="H39" s="51">
        <v>0</v>
      </c>
      <c r="I39" s="52">
        <f t="shared" si="27"/>
        <v>1932.163818181818</v>
      </c>
      <c r="J39" s="109">
        <f t="shared" si="32"/>
        <v>7370.545454545454</v>
      </c>
      <c r="K39" s="109">
        <f t="shared" si="28"/>
        <v>7728.6552727272719</v>
      </c>
      <c r="L39" s="53">
        <f t="shared" si="29"/>
        <v>8501.5208000000002</v>
      </c>
      <c r="M39" s="54">
        <f>'SA Oct 2023'!BB25</f>
        <v>0</v>
      </c>
      <c r="N39" s="54">
        <f>'SA Oct 2023'!BC25</f>
        <v>0</v>
      </c>
      <c r="O39" s="54">
        <f>'SA Oct 2023'!BD25</f>
        <v>0</v>
      </c>
      <c r="P39" s="54">
        <f>'SA Oct 2023'!BE25</f>
        <v>0</v>
      </c>
      <c r="Q39" s="110" t="str">
        <f t="shared" ref="Q39:Q47" si="36">IF(SUM(M39:P39)=0,"No discount",IF(M39&gt;0,"Guaranteed off bill",IF(N39&gt;0,"Guaranteed off usage",IF(O39&gt;0,"Pay-on-time off bill","Pay-on-time off usage"))))</f>
        <v>No discount</v>
      </c>
      <c r="R39" s="73" t="str">
        <f t="shared" si="31"/>
        <v>Inclusive</v>
      </c>
      <c r="S39" s="111">
        <f t="shared" si="34"/>
        <v>7728.6552727272719</v>
      </c>
      <c r="T39" s="112">
        <f t="shared" si="35"/>
        <v>7728.6552727272719</v>
      </c>
      <c r="U39" s="97">
        <f t="shared" si="33"/>
        <v>8501.5208000000002</v>
      </c>
      <c r="V39" s="381">
        <f t="shared" si="33"/>
        <v>8501.5208000000002</v>
      </c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</row>
    <row r="40" spans="1:42" ht="14" x14ac:dyDescent="0.15">
      <c r="A40" s="70" t="str">
        <f>'SA Oct 2023'!K26</f>
        <v>Red Energy</v>
      </c>
      <c r="B40" s="49" t="str">
        <f>'SA Oct 2023'!L26</f>
        <v>Red Business Saver</v>
      </c>
      <c r="C40" s="46">
        <f>IF('SA Oct 2023'!BP26=0,91*'SA Oct 2023'!M26/100,(91*'SA Oct 2023'!M26/100)+'SA Oct 2023'!BP26/4)</f>
        <v>118.3</v>
      </c>
      <c r="D40" s="46">
        <f>IF('SA Oct 2023'!O26="",$C$29*$C$30*'SA Oct 2023'!N26/100,IF($C$29*$C$30&gt;='SA Oct 2023'!P26,('SA Oct 2023'!P26*'SA Oct 2023'!N26/100),($C$29*$C$30*'SA Oct 2023'!N26/100)))</f>
        <v>1539.9999999999998</v>
      </c>
      <c r="E40" s="46">
        <f>IF(AND('SA Oct 2023'!P26&gt;0,'SA Oct 2023'!R26&gt;0),IF($C$29*$C$30&lt;'SA Oct 2023'!P26,0,IF($C$29*$C$30&lt;=('SA Oct 2023'!R26+'SA Oct 2023'!P26),(($C$29*$C$30-'SA Oct 2023'!P26)*'SA Oct 2023'!Q26/100),(('SA Oct 2023'!R26)*'SA Oct 2023'!Q26/100))),0)</f>
        <v>0</v>
      </c>
      <c r="F40" s="46">
        <f>IF(AND('SA Oct 2023'!R26&gt;0,'SA Oct 2023'!T26&gt;0),IF(($C$29*$C$30&lt;'SA Oct 2023'!T26),(0),($C$29*$C$30-'SA Oct 2023'!T26)*'SA Oct 2023'!U26/100),IF(AND('SA Oct 2023'!R26&gt;0,'SA Oct 2023'!T26=""),IF(($C$29*$C$30&lt;'SA Oct 2023'!R26+'SA Oct 2023'!P26),(0),(($C$29*$C$30-('SA Oct 2023'!R26+'SA Oct 2023'!P26))*'SA Oct 2023'!S26/100)),IF(AND('SA Oct 2023'!P26&gt;0,'SA Oct 2023'!R26=""&gt;0),IF(($C$29*$C$30&lt;'SA Oct 2023'!P26),(0),($C$29*$C$30-'SA Oct 2023'!P26)*'SA Oct 2023'!Q26/100),0)))</f>
        <v>0</v>
      </c>
      <c r="G40" s="50">
        <f>($C$29*$C$31)*'SA Oct 2023'!AF26/100</f>
        <v>284.72727272727275</v>
      </c>
      <c r="H40" s="51">
        <v>0</v>
      </c>
      <c r="I40" s="52">
        <f t="shared" si="27"/>
        <v>1943.0272727272725</v>
      </c>
      <c r="J40" s="109">
        <f t="shared" si="32"/>
        <v>7298.9090909090901</v>
      </c>
      <c r="K40" s="109">
        <f t="shared" si="28"/>
        <v>7772.1090909090899</v>
      </c>
      <c r="L40" s="53">
        <f t="shared" si="29"/>
        <v>8549.32</v>
      </c>
      <c r="M40" s="54">
        <f>'SA Oct 2023'!BB26</f>
        <v>0</v>
      </c>
      <c r="N40" s="54">
        <f>'SA Oct 2023'!BC26</f>
        <v>0</v>
      </c>
      <c r="O40" s="54">
        <f>'SA Oct 2023'!BD26</f>
        <v>0</v>
      </c>
      <c r="P40" s="54">
        <f>'SA Oct 2023'!BE26</f>
        <v>0</v>
      </c>
      <c r="Q40" s="110" t="str">
        <f t="shared" si="36"/>
        <v>No discount</v>
      </c>
      <c r="R40" s="73" t="str">
        <f t="shared" si="31"/>
        <v>Inclusive</v>
      </c>
      <c r="S40" s="111">
        <f t="shared" si="34"/>
        <v>7772.1090909090899</v>
      </c>
      <c r="T40" s="112">
        <f t="shared" si="35"/>
        <v>7772.1090909090899</v>
      </c>
      <c r="U40" s="97">
        <f t="shared" si="33"/>
        <v>8549.32</v>
      </c>
      <c r="V40" s="381">
        <f t="shared" si="33"/>
        <v>8549.32</v>
      </c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383"/>
      <c r="AI40" s="383"/>
      <c r="AJ40" s="383"/>
      <c r="AK40" s="383"/>
      <c r="AL40" s="383"/>
      <c r="AM40" s="383"/>
      <c r="AN40" s="383"/>
      <c r="AO40" s="383"/>
      <c r="AP40" s="383"/>
    </row>
    <row r="41" spans="1:42" ht="14" x14ac:dyDescent="0.15">
      <c r="A41" s="70" t="str">
        <f>'SA Oct 2023'!K27</f>
        <v>Simply Energy</v>
      </c>
      <c r="B41" s="49" t="str">
        <f>'SA Oct 2023'!L27</f>
        <v>Business Saver</v>
      </c>
      <c r="C41" s="46">
        <f>IF('SA Oct 2023'!BP27=0,91*'SA Oct 2023'!M27/100,(91*'SA Oct 2023'!M27/100)+'SA Oct 2023'!BP27/4)</f>
        <v>100.73699999999999</v>
      </c>
      <c r="D41" s="46">
        <f>IF('SA Oct 2023'!O27="",$C$29*$C$30*'SA Oct 2023'!N27/100,IF($C$29*$C$30&gt;='SA Oct 2023'!P27,('SA Oct 2023'!P27*'SA Oct 2023'!N27/100),($C$29*$C$30*'SA Oct 2023'!N27/100)))</f>
        <v>1714.3636363636363</v>
      </c>
      <c r="E41" s="46">
        <f>IF(AND('SA Oct 2023'!P27&gt;0,'SA Oct 2023'!R27&gt;0),IF($C$29*$C$30&lt;'SA Oct 2023'!P27,0,IF($C$29*$C$30&lt;=('SA Oct 2023'!R27+'SA Oct 2023'!P27),(($C$29*$C$30-'SA Oct 2023'!P27)*'SA Oct 2023'!Q27/100),(('SA Oct 2023'!R27)*'SA Oct 2023'!Q27/100))),0)</f>
        <v>0</v>
      </c>
      <c r="F41" s="46">
        <f>IF(AND('SA Oct 2023'!R27&gt;0,'SA Oct 2023'!T27&gt;0),IF(($C$29*$C$30&lt;'SA Oct 2023'!T27),(0),($C$29*$C$30-'SA Oct 2023'!T27)*'SA Oct 2023'!U27/100),IF(AND('SA Oct 2023'!R27&gt;0,'SA Oct 2023'!T27=""),IF(($C$29*$C$30&lt;'SA Oct 2023'!R27+'SA Oct 2023'!P27),(0),(($C$29*$C$30-('SA Oct 2023'!R27+'SA Oct 2023'!P27))*'SA Oct 2023'!S27/100)),IF(AND('SA Oct 2023'!P27&gt;0,'SA Oct 2023'!R27=""&gt;0),IF(($C$29*$C$30&lt;'SA Oct 2023'!P27),(0),($C$29*$C$30-'SA Oct 2023'!P27)*'SA Oct 2023'!Q27/100),0)))</f>
        <v>0</v>
      </c>
      <c r="G41" s="50">
        <f>($C$29*$C$31)*'SA Oct 2023'!AF27/100</f>
        <v>310.77272727272725</v>
      </c>
      <c r="H41" s="51">
        <v>0</v>
      </c>
      <c r="I41" s="52">
        <f t="shared" si="27"/>
        <v>2125.8733636363636</v>
      </c>
      <c r="J41" s="109">
        <f t="shared" si="32"/>
        <v>8100.545454545454</v>
      </c>
      <c r="K41" s="109">
        <f t="shared" si="28"/>
        <v>8503.4934545454544</v>
      </c>
      <c r="L41" s="53">
        <f t="shared" si="29"/>
        <v>9353.8428000000004</v>
      </c>
      <c r="M41" s="54">
        <f>'SA Oct 2023'!BB27</f>
        <v>0</v>
      </c>
      <c r="N41" s="54">
        <f>'SA Oct 2023'!BC27</f>
        <v>0</v>
      </c>
      <c r="O41" s="54">
        <f>'SA Oct 2023'!BD27</f>
        <v>0</v>
      </c>
      <c r="P41" s="54">
        <f>'SA Oct 2023'!BE27</f>
        <v>0</v>
      </c>
      <c r="Q41" s="110" t="str">
        <f t="shared" si="36"/>
        <v>No discount</v>
      </c>
      <c r="R41" s="73" t="str">
        <f t="shared" si="31"/>
        <v>Exclusive</v>
      </c>
      <c r="S41" s="111">
        <f t="shared" si="34"/>
        <v>8503.4934545454544</v>
      </c>
      <c r="T41" s="112">
        <f t="shared" si="35"/>
        <v>8503.4934545454544</v>
      </c>
      <c r="U41" s="97">
        <f t="shared" si="33"/>
        <v>9353.8428000000004</v>
      </c>
      <c r="V41" s="381">
        <f t="shared" si="33"/>
        <v>9353.8428000000004</v>
      </c>
      <c r="W41" s="383"/>
      <c r="X41" s="383"/>
      <c r="Y41" s="383"/>
      <c r="Z41" s="383"/>
      <c r="AA41" s="383"/>
      <c r="AB41" s="383"/>
      <c r="AC41" s="383"/>
      <c r="AD41" s="383"/>
      <c r="AE41" s="383"/>
      <c r="AF41" s="383"/>
      <c r="AG41" s="383"/>
      <c r="AH41" s="383"/>
      <c r="AI41" s="383"/>
      <c r="AJ41" s="383"/>
      <c r="AK41" s="383"/>
      <c r="AL41" s="383"/>
      <c r="AM41" s="383"/>
      <c r="AN41" s="383"/>
      <c r="AO41" s="383"/>
      <c r="AP41" s="383"/>
    </row>
    <row r="42" spans="1:42" ht="14" x14ac:dyDescent="0.15">
      <c r="A42" s="70" t="str">
        <f>'SA Oct 2023'!K28</f>
        <v>Powershop</v>
      </c>
      <c r="B42" s="49" t="str">
        <f>'SA Oct 2023'!L28</f>
        <v>100% Carbon Neutral</v>
      </c>
      <c r="C42" s="46">
        <f>IF('SA Oct 2023'!BP28=0,91*'SA Oct 2023'!M28/100,(91*'SA Oct 2023'!M28/100)+'SA Oct 2023'!BP28/4)</f>
        <v>141.95999999999998</v>
      </c>
      <c r="D42" s="46">
        <f>IF('SA Oct 2023'!O28="",$C$29*$C$30*'SA Oct 2023'!N28/100,IF($C$29*$C$30&gt;='SA Oct 2023'!P28,('SA Oct 2023'!P28*'SA Oct 2023'!N28/100),($C$29*$C$30*'SA Oct 2023'!N28/100)))</f>
        <v>1655.5</v>
      </c>
      <c r="E42" s="46">
        <f>IF(AND('SA Oct 2023'!P28&gt;0,'SA Oct 2023'!R28&gt;0),IF($C$29*$C$30&lt;'SA Oct 2023'!P28,0,IF($C$29*$C$30&lt;=('SA Oct 2023'!R28+'SA Oct 2023'!P28),(($C$29*$C$30-'SA Oct 2023'!P28)*'SA Oct 2023'!Q28/100),(('SA Oct 2023'!R28)*'SA Oct 2023'!Q28/100))),0)</f>
        <v>0</v>
      </c>
      <c r="F42" s="46">
        <f>IF(AND('SA Oct 2023'!R28&gt;0,'SA Oct 2023'!T28&gt;0),IF(($C$29*$C$30&lt;'SA Oct 2023'!T28),(0),($C$29*$C$30-'SA Oct 2023'!T28)*'SA Oct 2023'!U28/100),IF(AND('SA Oct 2023'!R28&gt;0,'SA Oct 2023'!T28=""),IF(($C$29*$C$30&lt;'SA Oct 2023'!R28+'SA Oct 2023'!P28),(0),(($C$29*$C$30-('SA Oct 2023'!R28+'SA Oct 2023'!P28))*'SA Oct 2023'!S28/100)),IF(AND('SA Oct 2023'!P28&gt;0,'SA Oct 2023'!R28=""&gt;0),IF(($C$29*$C$30&lt;'SA Oct 2023'!P28),(0),($C$29*$C$30-'SA Oct 2023'!P28)*'SA Oct 2023'!Q28/100),0)))</f>
        <v>0</v>
      </c>
      <c r="G42" s="50">
        <f>($C$29*$C$31)*'SA Oct 2023'!AF28/100</f>
        <v>374.72727272727275</v>
      </c>
      <c r="H42" s="51">
        <v>0</v>
      </c>
      <c r="I42" s="52">
        <f t="shared" si="27"/>
        <v>2172.187272727273</v>
      </c>
      <c r="J42" s="109">
        <f t="shared" si="32"/>
        <v>8120.9090909090919</v>
      </c>
      <c r="K42" s="109">
        <f t="shared" si="28"/>
        <v>8688.749090909092</v>
      </c>
      <c r="L42" s="53">
        <f t="shared" si="29"/>
        <v>9557.6240000000016</v>
      </c>
      <c r="M42" s="54">
        <f>'SA Oct 2023'!BB28</f>
        <v>0</v>
      </c>
      <c r="N42" s="54">
        <f>'SA Oct 2023'!BC28</f>
        <v>0</v>
      </c>
      <c r="O42" s="54">
        <f>'SA Oct 2023'!BD28</f>
        <v>0</v>
      </c>
      <c r="P42" s="54">
        <f>'SA Oct 2023'!BE28</f>
        <v>0</v>
      </c>
      <c r="Q42" s="110" t="str">
        <f t="shared" si="36"/>
        <v>No discount</v>
      </c>
      <c r="R42" s="73" t="str">
        <f t="shared" si="31"/>
        <v>Inclusive</v>
      </c>
      <c r="S42" s="111">
        <f t="shared" si="34"/>
        <v>8688.749090909092</v>
      </c>
      <c r="T42" s="112">
        <f t="shared" si="35"/>
        <v>8688.749090909092</v>
      </c>
      <c r="U42" s="97">
        <f t="shared" si="33"/>
        <v>9557.6240000000016</v>
      </c>
      <c r="V42" s="381">
        <f t="shared" si="33"/>
        <v>9557.6240000000016</v>
      </c>
      <c r="W42" s="383"/>
      <c r="X42" s="383"/>
      <c r="Y42" s="383"/>
      <c r="Z42" s="383"/>
      <c r="AA42" s="383"/>
      <c r="AB42" s="383"/>
      <c r="AC42" s="383"/>
      <c r="AD42" s="383"/>
      <c r="AE42" s="383"/>
      <c r="AF42" s="383"/>
      <c r="AG42" s="383"/>
      <c r="AH42" s="383"/>
      <c r="AI42" s="383"/>
      <c r="AJ42" s="383"/>
      <c r="AK42" s="383"/>
      <c r="AL42" s="383"/>
      <c r="AM42" s="383"/>
      <c r="AN42" s="383"/>
      <c r="AO42" s="383"/>
      <c r="AP42" s="383"/>
    </row>
    <row r="43" spans="1:42" ht="14" x14ac:dyDescent="0.15">
      <c r="A43" s="70" t="str">
        <f>'SA Oct 2023'!K29</f>
        <v>Energy Locals</v>
      </c>
      <c r="B43" s="49" t="str">
        <f>'SA Oct 2023'!L29</f>
        <v>Business Member</v>
      </c>
      <c r="C43" s="46">
        <f>IF('SA Oct 2023'!BP29=0,91*'SA Oct 2023'!M29/100,(91*'SA Oct 2023'!M29/100)+'SA Oct 2023'!BP29/4)</f>
        <v>121.24090909090907</v>
      </c>
      <c r="D43" s="46">
        <f>IF('SA Oct 2023'!O29="",$C$29*$C$30*'SA Oct 2023'!N29/100,IF($C$29*$C$30&gt;='SA Oct 2023'!P29,('SA Oct 2023'!P29*'SA Oct 2023'!N29/100),($C$29*$C$30*'SA Oct 2023'!N29/100)))</f>
        <v>1288.6363636363633</v>
      </c>
      <c r="E43" s="46">
        <f>IF(AND('SA Oct 2023'!P29&gt;0,'SA Oct 2023'!R29&gt;0),IF($C$29*$C$30&lt;'SA Oct 2023'!P29,0,IF($C$29*$C$30&lt;=('SA Oct 2023'!R29+'SA Oct 2023'!P29),(($C$29*$C$30-'SA Oct 2023'!P29)*'SA Oct 2023'!Q29/100),(('SA Oct 2023'!R29)*'SA Oct 2023'!Q29/100))),0)</f>
        <v>0</v>
      </c>
      <c r="F43" s="46">
        <f>IF(AND('SA Oct 2023'!R29&gt;0,'SA Oct 2023'!T29&gt;0),IF(($C$29*$C$30&lt;'SA Oct 2023'!T29),(0),($C$29*$C$30-'SA Oct 2023'!T29)*'SA Oct 2023'!U29/100),IF(AND('SA Oct 2023'!R29&gt;0,'SA Oct 2023'!T29=""),IF(($C$29*$C$30&lt;'SA Oct 2023'!R29+'SA Oct 2023'!P29),(0),(($C$29*$C$30-('SA Oct 2023'!R29+'SA Oct 2023'!P29))*'SA Oct 2023'!S29/100)),IF(AND('SA Oct 2023'!P29&gt;0,'SA Oct 2023'!R29=""&gt;0),IF(($C$29*$C$30&lt;'SA Oct 2023'!P29),(0),($C$29*$C$30-'SA Oct 2023'!P29)*'SA Oct 2023'!Q29/100),0)))</f>
        <v>0</v>
      </c>
      <c r="G43" s="50">
        <f>($C$29*$C$31)*'SA Oct 2023'!AF29/100</f>
        <v>415.90909090909088</v>
      </c>
      <c r="H43" s="51">
        <v>0</v>
      </c>
      <c r="I43" s="52">
        <f t="shared" si="27"/>
        <v>1825.7863636363631</v>
      </c>
      <c r="J43" s="111">
        <f t="shared" si="32"/>
        <v>6818.1818181818162</v>
      </c>
      <c r="K43" s="109">
        <f t="shared" si="28"/>
        <v>7303.1454545454526</v>
      </c>
      <c r="L43" s="53">
        <f t="shared" si="29"/>
        <v>8033.4599999999982</v>
      </c>
      <c r="M43" s="54">
        <f>'SA Oct 2023'!BB29</f>
        <v>0</v>
      </c>
      <c r="N43" s="54">
        <f>'SA Oct 2023'!BC29</f>
        <v>0</v>
      </c>
      <c r="O43" s="54">
        <f>'SA Oct 2023'!BD29</f>
        <v>0</v>
      </c>
      <c r="P43" s="54">
        <f>'SA Oct 2023'!BE29</f>
        <v>0</v>
      </c>
      <c r="Q43" s="110" t="str">
        <f t="shared" si="36"/>
        <v>No discount</v>
      </c>
      <c r="R43" s="73" t="str">
        <f t="shared" si="31"/>
        <v>Exclusive</v>
      </c>
      <c r="S43" s="111">
        <f t="shared" si="34"/>
        <v>7303.1454545454526</v>
      </c>
      <c r="T43" s="112">
        <f t="shared" si="35"/>
        <v>7303.1454545454526</v>
      </c>
      <c r="U43" s="97">
        <f t="shared" si="33"/>
        <v>8033.4599999999982</v>
      </c>
      <c r="V43" s="381">
        <f t="shared" si="33"/>
        <v>8033.4599999999982</v>
      </c>
      <c r="W43" s="383"/>
      <c r="X43" s="383"/>
      <c r="Y43" s="383"/>
      <c r="Z43" s="383"/>
      <c r="AA43" s="383"/>
      <c r="AB43" s="383"/>
      <c r="AC43" s="383"/>
      <c r="AD43" s="383"/>
      <c r="AE43" s="383"/>
      <c r="AF43" s="383"/>
      <c r="AG43" s="383"/>
      <c r="AH43" s="383"/>
      <c r="AI43" s="383"/>
      <c r="AJ43" s="383"/>
      <c r="AK43" s="383"/>
      <c r="AL43" s="383"/>
      <c r="AM43" s="383"/>
      <c r="AN43" s="383"/>
      <c r="AO43" s="383"/>
      <c r="AP43" s="383"/>
    </row>
    <row r="44" spans="1:42" ht="14" x14ac:dyDescent="0.15">
      <c r="A44" s="70" t="str">
        <f>'SA Oct 2023'!K30</f>
        <v>ReAmped Energy</v>
      </c>
      <c r="B44" s="49" t="str">
        <f>'SA Oct 2023'!L30</f>
        <v>Business</v>
      </c>
      <c r="C44" s="46">
        <f>IF('SA Oct 2023'!BP30=0,91*'SA Oct 2023'!M30/100,(91*'SA Oct 2023'!M30/100)+'SA Oct 2023'!BP30/4)</f>
        <v>60.572909090909086</v>
      </c>
      <c r="D44" s="46">
        <f>IF('SA Oct 2023'!O30="",$C$29*$C$30*'SA Oct 2023'!N30/100,IF($C$29*$C$30&gt;='SA Oct 2023'!P30,('SA Oct 2023'!P30*'SA Oct 2023'!N30/100),($C$29*$C$30*'SA Oct 2023'!N30/100)))</f>
        <v>1770.9999999999998</v>
      </c>
      <c r="E44" s="46">
        <f>IF(AND('SA Oct 2023'!P30&gt;0,'SA Oct 2023'!R30&gt;0),IF($C$29*$C$30&lt;'SA Oct 2023'!P30,0,IF($C$29*$C$30&lt;=('SA Oct 2023'!R30+'SA Oct 2023'!P30),(($C$29*$C$30-'SA Oct 2023'!P30)*'SA Oct 2023'!Q30/100),(('SA Oct 2023'!R30)*'SA Oct 2023'!Q30/100))),0)</f>
        <v>0</v>
      </c>
      <c r="F44" s="46">
        <f>IF(AND('SA Oct 2023'!R30&gt;0,'SA Oct 2023'!T30&gt;0),IF(($C$29*$C$30&lt;'SA Oct 2023'!T30),(0),($C$29*$C$30-'SA Oct 2023'!T30)*'SA Oct 2023'!U30/100),IF(AND('SA Oct 2023'!R30&gt;0,'SA Oct 2023'!T30=""),IF(($C$29*$C$30&lt;'SA Oct 2023'!R30+'SA Oct 2023'!P30),(0),(($C$29*$C$30-('SA Oct 2023'!R30+'SA Oct 2023'!P30))*'SA Oct 2023'!S30/100)),IF(AND('SA Oct 2023'!P30&gt;0,'SA Oct 2023'!R30=""&gt;0),IF(($C$29*$C$30&lt;'SA Oct 2023'!P30),(0),($C$29*$C$30-'SA Oct 2023'!P30)*'SA Oct 2023'!Q30/100),0)))</f>
        <v>0</v>
      </c>
      <c r="G44" s="50">
        <f>($C$29*$C$31)*'SA Oct 2023'!AF30/100</f>
        <v>309.81818181818181</v>
      </c>
      <c r="H44" s="51">
        <v>2</v>
      </c>
      <c r="I44" s="52">
        <f t="shared" si="27"/>
        <v>2141.3910909090905</v>
      </c>
      <c r="J44" s="111">
        <f t="shared" si="32"/>
        <v>8323.2727272727261</v>
      </c>
      <c r="K44" s="109">
        <f t="shared" si="28"/>
        <v>8565.564363636362</v>
      </c>
      <c r="L44" s="53">
        <f t="shared" si="29"/>
        <v>9422.1207999999988</v>
      </c>
      <c r="M44" s="54">
        <f>'SA Oct 2023'!BB30</f>
        <v>0</v>
      </c>
      <c r="N44" s="54">
        <f>'SA Oct 2023'!BC30</f>
        <v>0</v>
      </c>
      <c r="O44" s="54">
        <f>'SA Oct 2023'!BD30</f>
        <v>0</v>
      </c>
      <c r="P44" s="54">
        <f>'SA Oct 2023'!BE30</f>
        <v>0</v>
      </c>
      <c r="Q44" s="110" t="str">
        <f t="shared" si="36"/>
        <v>No discount</v>
      </c>
      <c r="R44" s="73" t="str">
        <f t="shared" si="31"/>
        <v>Exclusive</v>
      </c>
      <c r="S44" s="111">
        <f t="shared" si="34"/>
        <v>8565.564363636362</v>
      </c>
      <c r="T44" s="112">
        <f t="shared" si="35"/>
        <v>8565.564363636362</v>
      </c>
      <c r="U44" s="97">
        <f t="shared" si="33"/>
        <v>9422.1207999999988</v>
      </c>
      <c r="V44" s="381">
        <f t="shared" si="33"/>
        <v>9422.1207999999988</v>
      </c>
      <c r="W44" s="383"/>
      <c r="X44" s="383"/>
      <c r="Y44" s="383"/>
      <c r="Z44" s="383"/>
      <c r="AA44" s="383"/>
      <c r="AB44" s="383"/>
      <c r="AC44" s="383"/>
      <c r="AD44" s="383"/>
      <c r="AE44" s="383"/>
      <c r="AF44" s="383"/>
      <c r="AG44" s="383"/>
      <c r="AH44" s="383"/>
      <c r="AI44" s="383"/>
      <c r="AJ44" s="383"/>
      <c r="AK44" s="383"/>
      <c r="AL44" s="383"/>
      <c r="AM44" s="383"/>
      <c r="AN44" s="383"/>
      <c r="AO44" s="383"/>
      <c r="AP44" s="383"/>
    </row>
    <row r="45" spans="1:42" ht="14" x14ac:dyDescent="0.15">
      <c r="A45" s="70" t="str">
        <f>'SA Oct 2023'!K31</f>
        <v>CovaU</v>
      </c>
      <c r="B45" s="49" t="str">
        <f>'SA Oct 2023'!L31</f>
        <v>Freedom</v>
      </c>
      <c r="C45" s="46">
        <f>IF('SA Oct 2023'!BP31=0,91*'SA Oct 2023'!M31/100,(91*'SA Oct 2023'!M31/100)+'SA Oct 2023'!BP31/4)</f>
        <v>89.179999999999978</v>
      </c>
      <c r="D45" s="46">
        <f>IF('SA Oct 2023'!O31="",$C$29*$C$30*'SA Oct 2023'!N31/100,IF($C$29*$C$30&gt;='SA Oct 2023'!P31,('SA Oct 2023'!P31*'SA Oct 2023'!N31/100),($C$29*$C$30*'SA Oct 2023'!N31/100)))</f>
        <v>1559.7272727272727</v>
      </c>
      <c r="E45" s="46">
        <f>IF(AND('SA Oct 2023'!P31&gt;0,'SA Oct 2023'!R31&gt;0),IF($C$29*$C$30&lt;'SA Oct 2023'!P31,0,IF($C$29*$C$30&lt;=('SA Oct 2023'!R31+'SA Oct 2023'!P31),(($C$29*$C$30-'SA Oct 2023'!P31)*'SA Oct 2023'!Q31/100),(('SA Oct 2023'!R31)*'SA Oct 2023'!Q31/100))),0)</f>
        <v>0</v>
      </c>
      <c r="F45" s="46">
        <f>IF(AND('SA Oct 2023'!R31&gt;0,'SA Oct 2023'!T31&gt;0),IF(($C$29*$C$30&lt;'SA Oct 2023'!T31),(0),($C$29*$C$30-'SA Oct 2023'!T31)*'SA Oct 2023'!U31/100),IF(AND('SA Oct 2023'!R31&gt;0,'SA Oct 2023'!T31=""),IF(($C$29*$C$30&lt;'SA Oct 2023'!R31+'SA Oct 2023'!P31),(0),(($C$29*$C$30-('SA Oct 2023'!R31+'SA Oct 2023'!P31))*'SA Oct 2023'!S31/100)),IF(AND('SA Oct 2023'!P31&gt;0,'SA Oct 2023'!R31=""&gt;0),IF(($C$29*$C$30&lt;'SA Oct 2023'!P31),(0),($C$29*$C$30-'SA Oct 2023'!P31)*'SA Oct 2023'!Q31/100),0)))</f>
        <v>0</v>
      </c>
      <c r="G45" s="50">
        <f>($C$29*$C$31)*'SA Oct 2023'!AF31/100</f>
        <v>369.40909090909088</v>
      </c>
      <c r="H45" s="51">
        <v>3</v>
      </c>
      <c r="I45" s="52">
        <f t="shared" si="27"/>
        <v>2018.3163636363638</v>
      </c>
      <c r="J45" s="111">
        <f t="shared" si="32"/>
        <v>7716.545454545455</v>
      </c>
      <c r="K45" s="109">
        <f t="shared" si="28"/>
        <v>8073.2654545454552</v>
      </c>
      <c r="L45" s="53">
        <f t="shared" si="29"/>
        <v>8880.5920000000006</v>
      </c>
      <c r="M45" s="54">
        <f>'SA Oct 2023'!BB31</f>
        <v>0</v>
      </c>
      <c r="N45" s="54">
        <f>'SA Oct 2023'!BC31</f>
        <v>0</v>
      </c>
      <c r="O45" s="54">
        <f>'SA Oct 2023'!BD31</f>
        <v>0</v>
      </c>
      <c r="P45" s="54">
        <f>'SA Oct 2023'!BE31</f>
        <v>0</v>
      </c>
      <c r="Q45" s="110" t="str">
        <f t="shared" si="36"/>
        <v>No discount</v>
      </c>
      <c r="R45" s="73" t="str">
        <f t="shared" si="31"/>
        <v>Exclusive</v>
      </c>
      <c r="S45" s="111">
        <f t="shared" si="34"/>
        <v>8073.2654545454552</v>
      </c>
      <c r="T45" s="112">
        <f t="shared" si="35"/>
        <v>8073.2654545454552</v>
      </c>
      <c r="U45" s="97">
        <f t="shared" si="33"/>
        <v>8880.5920000000006</v>
      </c>
      <c r="V45" s="381">
        <f t="shared" si="33"/>
        <v>8880.5920000000006</v>
      </c>
      <c r="W45" s="383"/>
      <c r="X45" s="383"/>
      <c r="Y45" s="383"/>
      <c r="Z45" s="383"/>
      <c r="AA45" s="383"/>
      <c r="AB45" s="383"/>
      <c r="AC45" s="383"/>
      <c r="AD45" s="383"/>
      <c r="AE45" s="383"/>
      <c r="AF45" s="383"/>
      <c r="AG45" s="383"/>
      <c r="AH45" s="383"/>
      <c r="AI45" s="383"/>
      <c r="AJ45" s="383"/>
      <c r="AK45" s="383"/>
      <c r="AL45" s="383"/>
      <c r="AM45" s="383"/>
      <c r="AN45" s="383"/>
      <c r="AO45" s="383"/>
      <c r="AP45" s="383"/>
    </row>
    <row r="46" spans="1:42" ht="14" x14ac:dyDescent="0.15">
      <c r="A46" s="70" t="str">
        <f>'SA Oct 2023'!K32</f>
        <v>Sumo Power</v>
      </c>
      <c r="B46" s="49" t="str">
        <f>'SA Oct 2023'!L32</f>
        <v>Lite</v>
      </c>
      <c r="C46" s="46">
        <f>IF('SA Oct 2023'!BP32=0,91*'SA Oct 2023'!M32/100,(91*'SA Oct 2023'!M32/100)+'SA Oct 2023'!BP32/4)</f>
        <v>105.55999999999999</v>
      </c>
      <c r="D46" s="46">
        <f>IF('SA Oct 2023'!O32="",$C$29*$C$30*'SA Oct 2023'!N32/100,IF($C$29*$C$30&gt;='SA Oct 2023'!P32,('SA Oct 2023'!P32*'SA Oct 2023'!N32/100),($C$29*$C$30*'SA Oct 2023'!N32/100)))</f>
        <v>1708</v>
      </c>
      <c r="E46" s="46">
        <f>IF(AND('SA Oct 2023'!P32&gt;0,'SA Oct 2023'!R32&gt;0),IF($C$29*$C$30&lt;'SA Oct 2023'!P32,0,IF($C$29*$C$30&lt;=('SA Oct 2023'!R32+'SA Oct 2023'!P32),(($C$29*$C$30-'SA Oct 2023'!P32)*'SA Oct 2023'!Q32/100),(('SA Oct 2023'!R32)*'SA Oct 2023'!Q32/100))),0)</f>
        <v>0</v>
      </c>
      <c r="F46" s="46">
        <f>IF(AND('SA Oct 2023'!R32&gt;0,'SA Oct 2023'!T32&gt;0),IF(($C$29*$C$30&lt;'SA Oct 2023'!T32),(0),($C$29*$C$30-'SA Oct 2023'!T32)*'SA Oct 2023'!U32/100),IF(AND('SA Oct 2023'!R32&gt;0,'SA Oct 2023'!T32=""),IF(($C$29*$C$30&lt;'SA Oct 2023'!R32+'SA Oct 2023'!P32),(0),(($C$29*$C$30-('SA Oct 2023'!R32+'SA Oct 2023'!P32))*'SA Oct 2023'!S32/100)),IF(AND('SA Oct 2023'!P32&gt;0,'SA Oct 2023'!R32=""&gt;0),IF(($C$29*$C$30&lt;'SA Oct 2023'!P32),(0),($C$29*$C$30-'SA Oct 2023'!P32)*'SA Oct 2023'!Q32/100),0)))</f>
        <v>0</v>
      </c>
      <c r="G46" s="50">
        <f>($C$29*$C$31)*'SA Oct 2023'!AF32/100</f>
        <v>313.49999999999994</v>
      </c>
      <c r="H46" s="51">
        <v>6</v>
      </c>
      <c r="I46" s="52">
        <f t="shared" si="27"/>
        <v>2127.06</v>
      </c>
      <c r="J46" s="111">
        <f t="shared" si="32"/>
        <v>8086</v>
      </c>
      <c r="K46" s="109">
        <f t="shared" si="28"/>
        <v>8508.24</v>
      </c>
      <c r="L46" s="53">
        <f t="shared" si="29"/>
        <v>9359.0640000000003</v>
      </c>
      <c r="M46" s="54">
        <f>'SA Oct 2023'!BB32</f>
        <v>0</v>
      </c>
      <c r="N46" s="54">
        <f>'SA Oct 2023'!BC32</f>
        <v>0</v>
      </c>
      <c r="O46" s="54">
        <f>'SA Oct 2023'!BD32</f>
        <v>0</v>
      </c>
      <c r="P46" s="54">
        <f>'SA Oct 2023'!BE32</f>
        <v>0</v>
      </c>
      <c r="Q46" s="110" t="str">
        <f t="shared" si="36"/>
        <v>No discount</v>
      </c>
      <c r="R46" s="73" t="str">
        <f t="shared" si="31"/>
        <v>Exclusive</v>
      </c>
      <c r="S46" s="111">
        <f t="shared" si="34"/>
        <v>8508.24</v>
      </c>
      <c r="T46" s="112">
        <f t="shared" si="35"/>
        <v>8508.24</v>
      </c>
      <c r="U46" s="97">
        <f t="shared" si="33"/>
        <v>9359.0640000000003</v>
      </c>
      <c r="V46" s="381">
        <f t="shared" si="33"/>
        <v>9359.0640000000003</v>
      </c>
      <c r="W46" s="383"/>
      <c r="X46" s="383"/>
      <c r="Y46" s="383"/>
      <c r="Z46" s="383"/>
      <c r="AA46" s="383"/>
      <c r="AB46" s="383"/>
      <c r="AC46" s="383"/>
      <c r="AD46" s="383"/>
      <c r="AE46" s="383"/>
      <c r="AF46" s="383"/>
      <c r="AG46" s="383"/>
      <c r="AH46" s="383"/>
      <c r="AI46" s="383"/>
      <c r="AJ46" s="383"/>
      <c r="AK46" s="383"/>
      <c r="AL46" s="383"/>
      <c r="AM46" s="383"/>
      <c r="AN46" s="383"/>
      <c r="AO46" s="383"/>
      <c r="AP46" s="383"/>
    </row>
    <row r="47" spans="1:42" ht="14" x14ac:dyDescent="0.15">
      <c r="A47" s="70" t="str">
        <f>'SA Oct 2023'!K33</f>
        <v>Circular Energy</v>
      </c>
      <c r="B47" s="49" t="str">
        <f>'SA Oct 2023'!L33</f>
        <v>Zero Member Fee Business</v>
      </c>
      <c r="C47" s="46">
        <f>IF('SA Oct 2023'!BP33=0,91*'SA Oct 2023'!M33/100,(91*'SA Oct 2023'!M33/100)+'SA Oct 2023'!BP33/4)</f>
        <v>145.6</v>
      </c>
      <c r="D47" s="46">
        <f>IF('SA Oct 2023'!O33="",$C$29*$C$30*'SA Oct 2023'!N33/100,IF($C$29*$C$30&gt;='SA Oct 2023'!P33,('SA Oct 2023'!P33*'SA Oct 2023'!N33/100),($C$29*$C$30*'SA Oct 2023'!N33/100)))</f>
        <v>1463.6363636363635</v>
      </c>
      <c r="E47" s="46">
        <f>IF(AND('SA Oct 2023'!P33&gt;0,'SA Oct 2023'!R33&gt;0),IF($C$29*$C$30&lt;'SA Oct 2023'!P33,0,IF($C$29*$C$30&lt;=('SA Oct 2023'!R33+'SA Oct 2023'!P33),(($C$29*$C$30-'SA Oct 2023'!P33)*'SA Oct 2023'!Q33/100),(('SA Oct 2023'!R33)*'SA Oct 2023'!Q33/100))),0)</f>
        <v>0</v>
      </c>
      <c r="F47" s="46">
        <f>IF(AND('SA Oct 2023'!R33&gt;0,'SA Oct 2023'!T33&gt;0),IF(($C$29*$C$30&lt;'SA Oct 2023'!T33),(0),($C$29*$C$30-'SA Oct 2023'!T33)*'SA Oct 2023'!U33/100),IF(AND('SA Oct 2023'!R33&gt;0,'SA Oct 2023'!T33=""),IF(($C$29*$C$30&lt;'SA Oct 2023'!R33+'SA Oct 2023'!P33),(0),(($C$29*$C$30-('SA Oct 2023'!R33+'SA Oct 2023'!P33))*'SA Oct 2023'!S33/100)),IF(AND('SA Oct 2023'!P33&gt;0,'SA Oct 2023'!R33=""&gt;0),IF(($C$29*$C$30&lt;'SA Oct 2023'!P33),(0),($C$29*$C$30-'SA Oct 2023'!P33)*'SA Oct 2023'!Q33/100),0)))</f>
        <v>0</v>
      </c>
      <c r="G47" s="50">
        <f>($C$29*$C$31)*'SA Oct 2023'!AF33/100</f>
        <v>325.90909090909082</v>
      </c>
      <c r="H47" s="51">
        <v>7</v>
      </c>
      <c r="I47" s="52">
        <f t="shared" si="27"/>
        <v>1935.1454545454542</v>
      </c>
      <c r="J47" s="111">
        <f t="shared" si="32"/>
        <v>7158.1818181818171</v>
      </c>
      <c r="K47" s="109">
        <f t="shared" si="28"/>
        <v>7740.5818181818167</v>
      </c>
      <c r="L47" s="53">
        <f t="shared" si="29"/>
        <v>8514.64</v>
      </c>
      <c r="M47" s="54">
        <f>'SA Oct 2023'!BB33</f>
        <v>0</v>
      </c>
      <c r="N47" s="54">
        <f>'SA Oct 2023'!BC33</f>
        <v>0</v>
      </c>
      <c r="O47" s="54">
        <f>'SA Oct 2023'!BD33</f>
        <v>0</v>
      </c>
      <c r="P47" s="54">
        <f>'SA Oct 2023'!BE33</f>
        <v>0</v>
      </c>
      <c r="Q47" s="110" t="str">
        <f t="shared" si="36"/>
        <v>No discount</v>
      </c>
      <c r="R47" s="73" t="str">
        <f t="shared" si="31"/>
        <v>Exclusive</v>
      </c>
      <c r="S47" s="111">
        <f t="shared" si="34"/>
        <v>7740.5818181818167</v>
      </c>
      <c r="T47" s="112">
        <f t="shared" si="35"/>
        <v>7740.5818181818167</v>
      </c>
      <c r="U47" s="97">
        <f t="shared" si="33"/>
        <v>8514.64</v>
      </c>
      <c r="V47" s="381">
        <f t="shared" si="33"/>
        <v>8514.64</v>
      </c>
      <c r="W47" s="383"/>
      <c r="X47" s="383"/>
      <c r="Y47" s="383"/>
      <c r="Z47" s="383"/>
      <c r="AA47" s="383"/>
      <c r="AB47" s="383"/>
      <c r="AC47" s="383"/>
      <c r="AD47" s="383"/>
      <c r="AE47" s="383"/>
      <c r="AF47" s="383"/>
      <c r="AG47" s="383"/>
      <c r="AH47" s="383"/>
      <c r="AI47" s="383"/>
      <c r="AJ47" s="383"/>
      <c r="AK47" s="383"/>
      <c r="AL47" s="383"/>
      <c r="AM47" s="383"/>
      <c r="AN47" s="383"/>
      <c r="AO47" s="383"/>
      <c r="AP47" s="383"/>
    </row>
    <row r="48" spans="1:42" ht="14" x14ac:dyDescent="0.15">
      <c r="A48" s="70" t="str">
        <f>'SA Oct 2023'!K34</f>
        <v>Momentum Energy</v>
      </c>
      <c r="B48" s="49" t="str">
        <f>'SA Oct 2023'!L34</f>
        <v>Thrifty Business</v>
      </c>
      <c r="C48" s="46">
        <f>IF('SA Oct 2023'!BP34=0,91*'SA Oct 2023'!M34/100,(91*'SA Oct 2023'!M34/100)+'SA Oct 2023'!BP34/4)</f>
        <v>205.56899999999999</v>
      </c>
      <c r="D48" s="46">
        <f>IF('SA Oct 2023'!O34="",$C$29*$C$30*'SA Oct 2023'!N34/100,IF($C$29*$C$30&gt;='SA Oct 2023'!P34,('SA Oct 2023'!P34*'SA Oct 2023'!N34/100),($C$29*$C$30*'SA Oct 2023'!N34/100)))</f>
        <v>1529.4999999999998</v>
      </c>
      <c r="E48" s="46">
        <f>IF(AND('SA Oct 2023'!P34&gt;0,'SA Oct 2023'!R34&gt;0),IF($C$29*$C$30&lt;'SA Oct 2023'!P34,0,IF($C$29*$C$30&lt;=('SA Oct 2023'!R34+'SA Oct 2023'!P34),(($C$29*$C$30-'SA Oct 2023'!P34)*'SA Oct 2023'!Q34/100),(('SA Oct 2023'!R34)*'SA Oct 2023'!Q34/100))),0)</f>
        <v>0</v>
      </c>
      <c r="F48" s="46">
        <f>IF(AND('SA Oct 2023'!R34&gt;0,'SA Oct 2023'!T34&gt;0),IF(($C$29*$C$30&lt;'SA Oct 2023'!T34),(0),($C$29*$C$30-'SA Oct 2023'!T34)*'SA Oct 2023'!U34/100),IF(AND('SA Oct 2023'!R34&gt;0,'SA Oct 2023'!T34=""),IF(($C$29*$C$30&lt;'SA Oct 2023'!R34+'SA Oct 2023'!P34),(0),(($C$29*$C$30-('SA Oct 2023'!R34+'SA Oct 2023'!P34))*'SA Oct 2023'!S34/100)),IF(AND('SA Oct 2023'!P34&gt;0,'SA Oct 2023'!R34=""&gt;0),IF(($C$29*$C$30&lt;'SA Oct 2023'!P34),(0),($C$29*$C$30-'SA Oct 2023'!P34)*'SA Oct 2023'!Q34/100),0)))</f>
        <v>0</v>
      </c>
      <c r="G48" s="50">
        <f>($C$29*$C$31)*'SA Oct 2023'!AF34/100</f>
        <v>322.49999999999994</v>
      </c>
      <c r="H48" s="51">
        <v>8</v>
      </c>
      <c r="I48" s="52">
        <f t="shared" si="27"/>
        <v>2057.5689999999995</v>
      </c>
      <c r="J48" s="111">
        <f t="shared" si="32"/>
        <v>7407.9999999999982</v>
      </c>
      <c r="K48" s="109">
        <f t="shared" si="28"/>
        <v>8230.275999999998</v>
      </c>
      <c r="L48" s="53">
        <f t="shared" si="29"/>
        <v>9053.3035999999993</v>
      </c>
      <c r="M48" s="54">
        <f>'SA Oct 2023'!BB34</f>
        <v>0</v>
      </c>
      <c r="N48" s="54">
        <f>'SA Oct 2023'!BC34</f>
        <v>0</v>
      </c>
      <c r="O48" s="54">
        <f>'SA Oct 2023'!BD34</f>
        <v>0</v>
      </c>
      <c r="P48" s="54">
        <f>'SA Oct 2023'!BE34</f>
        <v>0</v>
      </c>
      <c r="Q48" s="110" t="str">
        <f t="shared" ref="Q48:Q49" si="37">IF(SUM(M48:P48)=0,"No discount",IF(M48&gt;0,"Guaranteed off bill",IF(N48&gt;0,"Guaranteed off usage",IF(O48&gt;0,"Pay-on-time off bill","Pay-on-time off usage"))))</f>
        <v>No discount</v>
      </c>
      <c r="R48" s="73" t="str">
        <f t="shared" si="31"/>
        <v>Exclusive</v>
      </c>
      <c r="S48" s="111">
        <f t="shared" si="34"/>
        <v>8230.275999999998</v>
      </c>
      <c r="T48" s="112">
        <f t="shared" si="35"/>
        <v>8230.275999999998</v>
      </c>
      <c r="U48" s="97">
        <f t="shared" si="33"/>
        <v>9053.3035999999993</v>
      </c>
      <c r="V48" s="381">
        <f t="shared" si="33"/>
        <v>9053.3035999999993</v>
      </c>
      <c r="W48" s="383"/>
      <c r="X48" s="383"/>
      <c r="Y48" s="383"/>
      <c r="Z48" s="383"/>
      <c r="AA48" s="383"/>
      <c r="AB48" s="383"/>
      <c r="AC48" s="383"/>
      <c r="AD48" s="383"/>
      <c r="AE48" s="383"/>
      <c r="AF48" s="383"/>
      <c r="AG48" s="383"/>
      <c r="AH48" s="383"/>
      <c r="AI48" s="383"/>
      <c r="AJ48" s="383"/>
      <c r="AK48" s="383"/>
      <c r="AL48" s="383"/>
      <c r="AM48" s="383"/>
      <c r="AN48" s="383"/>
      <c r="AO48" s="383"/>
      <c r="AP48" s="383"/>
    </row>
    <row r="49" spans="1:42" ht="15" thickBot="1" x14ac:dyDescent="0.2">
      <c r="A49" s="71" t="str">
        <f>'SA Oct 2023'!K35</f>
        <v>Next Business Energy</v>
      </c>
      <c r="B49" s="57" t="str">
        <f>'SA Oct 2023'!L35</f>
        <v xml:space="preserve">Assured </v>
      </c>
      <c r="C49" s="58">
        <f>IF('SA Oct 2023'!BP35=0,91*'SA Oct 2023'!M35/100,(91*'SA Oct 2023'!M35/100)+'SA Oct 2023'!BP35/4)</f>
        <v>87.566818181818178</v>
      </c>
      <c r="D49" s="58">
        <f>IF('SA Oct 2023'!O35="",$C$29*$C$30*'SA Oct 2023'!N35/100,IF($C$29*$C$30&gt;='SA Oct 2023'!P35,('SA Oct 2023'!P35*'SA Oct 2023'!N35/100),($C$29*$C$30*'SA Oct 2023'!N35/100)))</f>
        <v>1596.6363636363635</v>
      </c>
      <c r="E49" s="58">
        <f>IF(AND('SA Oct 2023'!P35&gt;0,'SA Oct 2023'!R35&gt;0),IF($C$29*$C$30&lt;'SA Oct 2023'!P35,0,IF($C$29*$C$30&lt;=('SA Oct 2023'!R35+'SA Oct 2023'!P35),(($C$29*$C$30-'SA Oct 2023'!P35)*'SA Oct 2023'!Q35/100),(('SA Oct 2023'!R35)*'SA Oct 2023'!Q35/100))),0)</f>
        <v>0</v>
      </c>
      <c r="F49" s="58">
        <f>IF(AND('SA Oct 2023'!R35&gt;0,'SA Oct 2023'!T35&gt;0),IF(($C$29*$C$30&lt;'SA Oct 2023'!T35),(0),($C$29*$C$30-'SA Oct 2023'!T35)*'SA Oct 2023'!U35/100),IF(AND('SA Oct 2023'!R35&gt;0,'SA Oct 2023'!T35=""),IF(($C$29*$C$30&lt;'SA Oct 2023'!R35+'SA Oct 2023'!P35),(0),(($C$29*$C$30-('SA Oct 2023'!R35+'SA Oct 2023'!P35))*'SA Oct 2023'!S35/100)),IF(AND('SA Oct 2023'!P35&gt;0,'SA Oct 2023'!R35=""&gt;0),IF(($C$29*$C$30&lt;'SA Oct 2023'!P35),(0),($C$29*$C$30-'SA Oct 2023'!P35)*'SA Oct 2023'!Q35/100),0)))</f>
        <v>0</v>
      </c>
      <c r="G49" s="59">
        <f>($C$29*$C$31)*'SA Oct 2023'!AF35/100</f>
        <v>326.99999999999994</v>
      </c>
      <c r="H49" s="60">
        <v>9</v>
      </c>
      <c r="I49" s="61">
        <f t="shared" si="27"/>
        <v>2011.2031818181817</v>
      </c>
      <c r="J49" s="113">
        <f t="shared" si="32"/>
        <v>7694.545454545454</v>
      </c>
      <c r="K49" s="116">
        <f t="shared" si="28"/>
        <v>8044.812727272727</v>
      </c>
      <c r="L49" s="62">
        <f t="shared" si="29"/>
        <v>8849.2939999999999</v>
      </c>
      <c r="M49" s="63">
        <f>'SA Oct 2023'!BB35</f>
        <v>0</v>
      </c>
      <c r="N49" s="63">
        <f>'SA Oct 2023'!BC35</f>
        <v>0</v>
      </c>
      <c r="O49" s="63">
        <f>'SA Oct 2023'!BD35</f>
        <v>0</v>
      </c>
      <c r="P49" s="63">
        <f>'SA Oct 2023'!BE35</f>
        <v>0</v>
      </c>
      <c r="Q49" s="115" t="str">
        <f t="shared" si="37"/>
        <v>No discount</v>
      </c>
      <c r="R49" s="72" t="str">
        <f t="shared" si="31"/>
        <v>Exclusive</v>
      </c>
      <c r="S49" s="113">
        <f t="shared" si="34"/>
        <v>8044.812727272727</v>
      </c>
      <c r="T49" s="114">
        <f t="shared" si="35"/>
        <v>8044.812727272727</v>
      </c>
      <c r="U49" s="99">
        <f t="shared" si="33"/>
        <v>8849.2939999999999</v>
      </c>
      <c r="V49" s="382">
        <f t="shared" si="33"/>
        <v>8849.2939999999999</v>
      </c>
      <c r="W49" s="383"/>
      <c r="X49" s="383"/>
      <c r="Y49" s="383"/>
      <c r="Z49" s="383"/>
      <c r="AA49" s="383"/>
      <c r="AB49" s="383"/>
      <c r="AC49" s="383"/>
      <c r="AD49" s="383"/>
      <c r="AE49" s="383"/>
      <c r="AF49" s="383"/>
      <c r="AG49" s="383"/>
      <c r="AH49" s="383"/>
      <c r="AI49" s="383"/>
      <c r="AJ49" s="383"/>
      <c r="AK49" s="383"/>
      <c r="AL49" s="383"/>
      <c r="AM49" s="383"/>
      <c r="AN49" s="383"/>
      <c r="AO49" s="383"/>
      <c r="AP49" s="383"/>
    </row>
    <row r="50" spans="1:42" ht="14" x14ac:dyDescent="0.15">
      <c r="A50" s="383"/>
      <c r="B50" s="383"/>
      <c r="C50" s="383"/>
      <c r="D50" s="386"/>
      <c r="E50" s="386"/>
      <c r="F50" s="386"/>
      <c r="G50" s="386"/>
      <c r="H50" s="386"/>
      <c r="I50" s="387"/>
      <c r="J50" s="387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83"/>
      <c r="AF50" s="383"/>
      <c r="AG50" s="383"/>
      <c r="AH50" s="383"/>
      <c r="AI50" s="383"/>
      <c r="AJ50" s="383"/>
      <c r="AK50" s="383"/>
      <c r="AL50" s="383"/>
      <c r="AM50" s="383"/>
      <c r="AN50" s="383"/>
      <c r="AO50" s="383"/>
      <c r="AP50" s="383"/>
    </row>
    <row r="51" spans="1:42" ht="15" thickBot="1" x14ac:dyDescent="0.2">
      <c r="A51" s="383"/>
      <c r="B51" s="383"/>
      <c r="C51" s="383"/>
      <c r="D51" s="383"/>
      <c r="E51" s="383"/>
      <c r="F51" s="383"/>
      <c r="G51" s="386"/>
      <c r="H51" s="386"/>
      <c r="I51" s="387"/>
      <c r="J51" s="387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  <c r="AA51" s="383"/>
      <c r="AB51" s="383"/>
      <c r="AC51" s="383"/>
      <c r="AD51" s="383"/>
      <c r="AE51" s="383"/>
      <c r="AF51" s="383"/>
      <c r="AG51" s="383"/>
      <c r="AH51" s="383"/>
      <c r="AI51" s="383"/>
      <c r="AJ51" s="383"/>
      <c r="AK51" s="383"/>
      <c r="AL51" s="383"/>
      <c r="AM51" s="383"/>
      <c r="AN51" s="383"/>
      <c r="AO51" s="383"/>
      <c r="AP51" s="383"/>
    </row>
    <row r="52" spans="1:42" ht="14" x14ac:dyDescent="0.15">
      <c r="A52" s="36" t="s">
        <v>750</v>
      </c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9"/>
      <c r="W52" s="383"/>
      <c r="X52" s="383"/>
      <c r="Y52" s="383"/>
      <c r="Z52" s="383"/>
      <c r="AA52" s="383"/>
      <c r="AB52" s="383"/>
      <c r="AC52" s="383"/>
      <c r="AD52" s="383"/>
      <c r="AE52" s="383"/>
      <c r="AF52" s="383"/>
      <c r="AG52" s="383"/>
      <c r="AH52" s="383"/>
      <c r="AI52" s="383"/>
      <c r="AJ52" s="383"/>
      <c r="AK52" s="383"/>
      <c r="AL52" s="383"/>
      <c r="AM52" s="383"/>
      <c r="AN52" s="383"/>
      <c r="AO52" s="383"/>
      <c r="AP52" s="383"/>
    </row>
    <row r="53" spans="1:42" ht="14" x14ac:dyDescent="0.15">
      <c r="A53" s="40" t="s">
        <v>197</v>
      </c>
      <c r="B53" s="38"/>
      <c r="C53" s="47">
        <v>5000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41"/>
      <c r="W53" s="383"/>
      <c r="X53" s="383"/>
      <c r="Y53" s="383"/>
      <c r="Z53" s="383"/>
      <c r="AA53" s="383"/>
      <c r="AB53" s="383"/>
      <c r="AC53" s="383"/>
      <c r="AD53" s="383"/>
      <c r="AE53" s="383"/>
      <c r="AF53" s="383"/>
      <c r="AG53" s="383"/>
      <c r="AH53" s="383"/>
      <c r="AI53" s="383"/>
      <c r="AJ53" s="383"/>
      <c r="AK53" s="383"/>
      <c r="AL53" s="383"/>
      <c r="AM53" s="383"/>
      <c r="AN53" s="383"/>
      <c r="AO53" s="383"/>
      <c r="AP53" s="383"/>
    </row>
    <row r="54" spans="1:42" ht="14" x14ac:dyDescent="0.15">
      <c r="A54" s="40" t="s">
        <v>85</v>
      </c>
      <c r="B54" s="38"/>
      <c r="C54" s="48">
        <v>0.3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41"/>
      <c r="W54" s="383"/>
      <c r="X54" s="383"/>
      <c r="Y54" s="383"/>
      <c r="Z54" s="383"/>
      <c r="AA54" s="383"/>
      <c r="AB54" s="383"/>
      <c r="AC54" s="383"/>
      <c r="AD54" s="383"/>
      <c r="AE54" s="383"/>
      <c r="AF54" s="383"/>
      <c r="AG54" s="383"/>
      <c r="AH54" s="383"/>
      <c r="AI54" s="383"/>
      <c r="AJ54" s="383"/>
      <c r="AK54" s="383"/>
      <c r="AL54" s="383"/>
      <c r="AM54" s="383"/>
      <c r="AN54" s="383"/>
      <c r="AO54" s="383"/>
      <c r="AP54" s="383"/>
    </row>
    <row r="55" spans="1:42" ht="14" x14ac:dyDescent="0.15">
      <c r="A55" s="40" t="s">
        <v>753</v>
      </c>
      <c r="B55" s="38"/>
      <c r="C55" s="48">
        <v>0.4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41"/>
      <c r="W55" s="383"/>
      <c r="X55" s="383"/>
      <c r="Y55" s="383"/>
      <c r="Z55" s="383"/>
      <c r="AA55" s="383"/>
      <c r="AB55" s="383"/>
      <c r="AC55" s="383"/>
      <c r="AD55" s="383"/>
      <c r="AE55" s="383"/>
      <c r="AF55" s="383"/>
      <c r="AG55" s="383"/>
      <c r="AH55" s="383"/>
      <c r="AI55" s="383"/>
      <c r="AJ55" s="383"/>
      <c r="AK55" s="383"/>
      <c r="AL55" s="383"/>
      <c r="AM55" s="383"/>
      <c r="AN55" s="383"/>
      <c r="AO55" s="383"/>
      <c r="AP55" s="383"/>
    </row>
    <row r="56" spans="1:42" ht="14" x14ac:dyDescent="0.15">
      <c r="A56" s="40" t="s">
        <v>172</v>
      </c>
      <c r="B56" s="38"/>
      <c r="C56" s="48">
        <v>0.3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41"/>
      <c r="W56" s="383"/>
      <c r="X56" s="383"/>
      <c r="Y56" s="383"/>
      <c r="Z56" s="383"/>
      <c r="AA56" s="383"/>
      <c r="AB56" s="383"/>
      <c r="AC56" s="383"/>
      <c r="AD56" s="383"/>
      <c r="AE56" s="383"/>
      <c r="AF56" s="383"/>
      <c r="AG56" s="383"/>
      <c r="AH56" s="383"/>
      <c r="AI56" s="383"/>
      <c r="AJ56" s="383"/>
      <c r="AK56" s="383"/>
      <c r="AL56" s="383"/>
      <c r="AM56" s="383"/>
      <c r="AN56" s="383"/>
      <c r="AO56" s="383"/>
      <c r="AP56" s="383"/>
    </row>
    <row r="57" spans="1:42" ht="14" x14ac:dyDescent="0.15">
      <c r="A57" s="40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41"/>
      <c r="W57" s="383"/>
      <c r="X57" s="383"/>
      <c r="Y57" s="383"/>
      <c r="Z57" s="383"/>
      <c r="AA57" s="383"/>
      <c r="AB57" s="383"/>
      <c r="AC57" s="383"/>
      <c r="AD57" s="383"/>
      <c r="AE57" s="383"/>
      <c r="AF57" s="383"/>
      <c r="AG57" s="383"/>
      <c r="AH57" s="383"/>
      <c r="AI57" s="383"/>
      <c r="AJ57" s="383"/>
      <c r="AK57" s="383"/>
      <c r="AL57" s="383"/>
      <c r="AM57" s="383"/>
      <c r="AN57" s="383"/>
      <c r="AO57" s="383"/>
      <c r="AP57" s="383"/>
    </row>
    <row r="58" spans="1:42" ht="75" x14ac:dyDescent="0.15">
      <c r="A58" s="317" t="s">
        <v>216</v>
      </c>
      <c r="B58" s="272" t="s">
        <v>198</v>
      </c>
      <c r="C58" s="274" t="s">
        <v>199</v>
      </c>
      <c r="D58" s="274" t="s">
        <v>200</v>
      </c>
      <c r="E58" s="274" t="s">
        <v>201</v>
      </c>
      <c r="F58" s="274" t="s">
        <v>164</v>
      </c>
      <c r="G58" s="274" t="s">
        <v>754</v>
      </c>
      <c r="H58" s="274" t="s">
        <v>173</v>
      </c>
      <c r="I58" s="274" t="s">
        <v>165</v>
      </c>
      <c r="J58" s="275" t="s">
        <v>544</v>
      </c>
      <c r="K58" s="276" t="s">
        <v>166</v>
      </c>
      <c r="L58" s="277" t="s">
        <v>545</v>
      </c>
      <c r="M58" s="278" t="s">
        <v>167</v>
      </c>
      <c r="N58" s="278" t="s">
        <v>168</v>
      </c>
      <c r="O58" s="278" t="s">
        <v>169</v>
      </c>
      <c r="P58" s="278" t="s">
        <v>170</v>
      </c>
      <c r="Q58" s="279" t="s">
        <v>541</v>
      </c>
      <c r="R58" s="279" t="s">
        <v>542</v>
      </c>
      <c r="S58" s="280" t="s">
        <v>546</v>
      </c>
      <c r="T58" s="280" t="s">
        <v>547</v>
      </c>
      <c r="U58" s="281" t="s">
        <v>227</v>
      </c>
      <c r="V58" s="380" t="s">
        <v>272</v>
      </c>
      <c r="W58" s="383"/>
      <c r="X58" s="383"/>
      <c r="Y58" s="383"/>
      <c r="Z58" s="383"/>
      <c r="AA58" s="383"/>
      <c r="AB58" s="383"/>
      <c r="AC58" s="383"/>
      <c r="AD58" s="383"/>
      <c r="AE58" s="383"/>
      <c r="AF58" s="383"/>
      <c r="AG58" s="383"/>
      <c r="AH58" s="383"/>
      <c r="AI58" s="383"/>
      <c r="AJ58" s="383"/>
      <c r="AK58" s="383"/>
      <c r="AL58" s="383"/>
      <c r="AM58" s="383"/>
      <c r="AN58" s="383"/>
      <c r="AO58" s="383"/>
      <c r="AP58" s="383"/>
    </row>
    <row r="59" spans="1:42" ht="14" x14ac:dyDescent="0.15">
      <c r="A59" s="70" t="str">
        <f>'SA Oct 2023'!K36</f>
        <v>AGL</v>
      </c>
      <c r="B59" s="49" t="str">
        <f>'SA Oct 2023'!L36</f>
        <v>Business Value Saver</v>
      </c>
      <c r="C59" s="46">
        <f>IF('SA Oct 2023'!BP36=0,91*'SA Oct 2023'!M36/100,(91*'SA Oct 2023'!M36/100)+'SA Oct 2023'!BP36/4)</f>
        <v>126.126</v>
      </c>
      <c r="D59" s="46">
        <f>IF('SA Oct 2023'!O36="",$C$53*$C$54*'SA Oct 2023'!N36/100,IF($C$53*$C$54&gt;='SA Oct 2023'!P36,('SA Oct 2023'!P36*'SA Oct 2023'!N36/100),($C$53*$C$54*'SA Oct 2023'!N36/100)))</f>
        <v>784.22727272727263</v>
      </c>
      <c r="E59" s="46">
        <f>IF(AND('SA Oct 2023'!P36&gt;0,'SA Oct 2023'!R36&gt;0),IF($C$53*$C$54&lt;'SA Oct 2023'!P36,0,IF($C$53*$C$54&lt;=('SA Oct 2023'!R36+'SA Oct 2023'!P36),(($C$53*$C$54-'SA Oct 2023'!P36)*'SA Oct 2023'!Q36/100),(('SA Oct 2023'!R36)*'SA Oct 2023'!Q36/100))),0)</f>
        <v>0</v>
      </c>
      <c r="F59" s="50">
        <f>IF(AND('SA Oct 2023'!R36&gt;0,'SA Oct 2023'!T36&gt;0),IF(($C$53*$C$54&lt;'SA Oct 2023'!T36),(0),($C$53*$C$54-'SA Oct 2023'!T36)*'SA Oct 2023'!U36/100),IF(AND('SA Oct 2023'!R36&gt;0,'SA Oct 2023'!T36=""),IF(($C$53*$C$54&lt;'SA Oct 2023'!R36+'SA Oct 2023'!P36),(0),(($C$53*$C$54-('SA Oct 2023'!R36+'SA Oct 2023'!P36))*'SA Oct 2023'!S36/100)),IF(AND('SA Oct 2023'!P36&gt;0,'SA Oct 2023'!R36=""&gt;0),IF(($C$53*$C$54&lt;'SA Oct 2023'!P36),(0),($C$53*$C$54-'SA Oct 2023'!P36)*'SA Oct 2023'!Q36/100),0)))</f>
        <v>0</v>
      </c>
      <c r="G59" s="328">
        <f>($C$53*$C$55)*'SA Oct 2023'!AI36/100</f>
        <v>870.54545454545439</v>
      </c>
      <c r="H59" s="51">
        <f>($C$53*$C$56)*'SA Oct 2023'!W36/100</f>
        <v>531</v>
      </c>
      <c r="I59" s="52">
        <f t="shared" ref="I59:I82" si="38">SUM(C59:H59)</f>
        <v>2311.8987272727272</v>
      </c>
      <c r="J59" s="109">
        <f t="shared" ref="J59:J82" si="39">(I59-C59)*4</f>
        <v>8743.0909090909081</v>
      </c>
      <c r="K59" s="109">
        <f t="shared" ref="K59:K82" si="40">I59*4</f>
        <v>9247.5949090909089</v>
      </c>
      <c r="L59" s="53">
        <f t="shared" ref="L59:L82" si="41">K59*1.1</f>
        <v>10172.3544</v>
      </c>
      <c r="M59" s="54">
        <f>'SA Oct 2023'!BB36</f>
        <v>0</v>
      </c>
      <c r="N59" s="54">
        <f>'SA Oct 2023'!BC36</f>
        <v>0</v>
      </c>
      <c r="O59" s="54">
        <f>'SA Oct 2023'!BD36</f>
        <v>0</v>
      </c>
      <c r="P59" s="54">
        <f>'SA Oct 2023'!BE36</f>
        <v>0</v>
      </c>
      <c r="Q59" s="110" t="str">
        <f t="shared" ref="Q59:Q70" si="42">IF(SUM(M59:P59)=0,"No discount",IF(M59&gt;0,"Guaranteed off bill",IF(N59&gt;0,"Guaranteed off usage",IF(O59&gt;0,"Pay-on-time off bill","Pay-on-time off usage"))))</f>
        <v>No discount</v>
      </c>
      <c r="R59" s="73" t="str">
        <f t="shared" ref="R59:R82" si="43">IF(OR(A59="Origin Energy",A59="Red Energy",A59="Powershop"),"Inclusive","Exclusive")</f>
        <v>Exclusive</v>
      </c>
      <c r="S59" s="111">
        <f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9247.5949090909089</v>
      </c>
      <c r="T59" s="112">
        <f>IF(AND(Q59="Pay-on-time off bill",R59="Inclusive"),((S59*1.1)-((S59*1.1)*O59/100))/1.1,IF(AND(Q59="Pay-on-time off usage",R59="Inclusive"),((S59*1.1)-((J59*1.1)*P59/100))/1.1,IF(AND(Q59="Pay-on-time off bill",R59="Exclusive"),S59-(S59*O59/100),IF(AND(Q59="Pay-on-time off usage",R59="Exclusive"),S59-(J59*P59/100),IF(R59="Inclusive",((S59*1.1))/1.1,S59)))))</f>
        <v>9247.5949090909089</v>
      </c>
      <c r="U59" s="97">
        <f>S59*1.1</f>
        <v>10172.3544</v>
      </c>
      <c r="V59" s="381">
        <f>T59*1.1</f>
        <v>10172.3544</v>
      </c>
      <c r="W59" s="383"/>
      <c r="X59" s="383"/>
      <c r="Y59" s="383"/>
      <c r="Z59" s="383"/>
      <c r="AA59" s="383"/>
      <c r="AB59" s="383"/>
      <c r="AC59" s="383"/>
      <c r="AD59" s="383"/>
      <c r="AE59" s="383"/>
      <c r="AF59" s="383"/>
      <c r="AG59" s="383"/>
      <c r="AH59" s="383"/>
      <c r="AI59" s="383"/>
      <c r="AJ59" s="383"/>
      <c r="AK59" s="383"/>
      <c r="AL59" s="383"/>
      <c r="AM59" s="383"/>
      <c r="AN59" s="383"/>
      <c r="AO59" s="383"/>
      <c r="AP59" s="383"/>
    </row>
    <row r="60" spans="1:42" ht="15" thickBot="1" x14ac:dyDescent="0.2">
      <c r="A60" s="71" t="str">
        <f>'SA Oct 2023'!K37</f>
        <v>Circular Energy</v>
      </c>
      <c r="B60" s="57" t="str">
        <f>'SA Oct 2023'!L37</f>
        <v>Zero Member Fee Business</v>
      </c>
      <c r="C60" s="58">
        <f>IF('SA Oct 2023'!BP37=0,91*'SA Oct 2023'!M37/100,(91*'SA Oct 2023'!M37/100)+'SA Oct 2023'!BP37/4)</f>
        <v>145.6</v>
      </c>
      <c r="D60" s="58">
        <f>IF('SA Oct 2023'!O37="",$C$53*$C$54*'SA Oct 2023'!N37/100,IF($C$53*$C$54&gt;='SA Oct 2023'!P37,('SA Oct 2023'!P37*'SA Oct 2023'!N37/100),($C$53*$C$54*'SA Oct 2023'!N37/100)))</f>
        <v>654.5454545454545</v>
      </c>
      <c r="E60" s="58">
        <f>IF(AND('SA Oct 2023'!P37&gt;0,'SA Oct 2023'!R37&gt;0),IF($C$53*$C$54&lt;'SA Oct 2023'!P37,0,IF($C$53*$C$54&lt;=('SA Oct 2023'!R37+'SA Oct 2023'!P37),(($C$53*$C$54-'SA Oct 2023'!P37)*'SA Oct 2023'!Q37/100),(('SA Oct 2023'!R37)*'SA Oct 2023'!Q37/100))),0)</f>
        <v>0</v>
      </c>
      <c r="F60" s="59">
        <f>IF(AND('SA Oct 2023'!R37&gt;0,'SA Oct 2023'!T37&gt;0),IF(($C$53*$C$54&lt;'SA Oct 2023'!T37),(0),($C$53*$C$54-'SA Oct 2023'!T37)*'SA Oct 2023'!U37/100),IF(AND('SA Oct 2023'!R37&gt;0,'SA Oct 2023'!T37=""),IF(($C$53*$C$54&lt;'SA Oct 2023'!R37+'SA Oct 2023'!P37),(0),(($C$53*$C$54-('SA Oct 2023'!R37+'SA Oct 2023'!P37))*'SA Oct 2023'!S37/100)),IF(AND('SA Oct 2023'!P37&gt;0,'SA Oct 2023'!R37=""&gt;0),IF(($C$53*$C$54&lt;'SA Oct 2023'!P37),(0),($C$53*$C$54-'SA Oct 2023'!P37)*'SA Oct 2023'!Q37/100),0)))</f>
        <v>0</v>
      </c>
      <c r="G60" s="329">
        <f>($C$53*$C$55)*'SA Oct 2023'!AI37/100</f>
        <v>800</v>
      </c>
      <c r="H60" s="60">
        <f>($C$53*$C$56)*'SA Oct 2023'!W37/100</f>
        <v>463.63636363636363</v>
      </c>
      <c r="I60" s="61">
        <f t="shared" si="38"/>
        <v>2063.7818181818179</v>
      </c>
      <c r="J60" s="116">
        <f t="shared" si="39"/>
        <v>7672.7272727272721</v>
      </c>
      <c r="K60" s="116">
        <f t="shared" si="40"/>
        <v>8255.1272727272717</v>
      </c>
      <c r="L60" s="62">
        <f t="shared" si="41"/>
        <v>9080.64</v>
      </c>
      <c r="M60" s="63">
        <f>'SA Oct 2023'!BB37</f>
        <v>0</v>
      </c>
      <c r="N60" s="63">
        <f>'SA Oct 2023'!BC37</f>
        <v>0</v>
      </c>
      <c r="O60" s="63">
        <f>'SA Oct 2023'!BD37</f>
        <v>0</v>
      </c>
      <c r="P60" s="63">
        <f>'SA Oct 2023'!BE37</f>
        <v>0</v>
      </c>
      <c r="Q60" s="115" t="str">
        <f t="shared" si="42"/>
        <v>No discount</v>
      </c>
      <c r="R60" s="72" t="str">
        <f t="shared" si="43"/>
        <v>Exclusive</v>
      </c>
      <c r="S60" s="113">
        <f t="shared" ref="S60:S82" si="44">IF(AND(Q60="Guaranteed off bill",R60="Inclusive"),((K60*1.1)-((K60*1.1)*M60/100))/1.1,IF(AND(Q60="Guaranteed off usage",R60="Inclusive"),((K60*1.1)-((J60*1.1)*N60/100))/1.1,IF(AND(Q60="Guaranteed off bill",R60="Exclusive"),K60-(K60*M60/100),IF(AND(Q60="Guaranteed off usage",R60="Exclusive"),K60-(J60*N60/100),IF(R60="Inclusive",((K60*1.1))/1.1,K60)))))</f>
        <v>8255.1272727272717</v>
      </c>
      <c r="T60" s="114">
        <f t="shared" ref="T60:T82" si="45">IF(AND(Q60="Pay-on-time off bill",R60="Inclusive"),((S60*1.1)-((S60*1.1)*O60/100))/1.1,IF(AND(Q60="Pay-on-time off usage",R60="Inclusive"),((S60*1.1)-((J60*1.1)*P60/100))/1.1,IF(AND(Q60="Pay-on-time off bill",R60="Exclusive"),S60-(S60*O60/100),IF(AND(Q60="Pay-on-time off usage",R60="Exclusive"),S60-(J60*P60/100),IF(R60="Inclusive",((S60*1.1))/1.1,S60)))))</f>
        <v>8255.1272727272717</v>
      </c>
      <c r="U60" s="99">
        <f t="shared" ref="U60:V77" si="46">S60*1.1</f>
        <v>9080.64</v>
      </c>
      <c r="V60" s="382">
        <f t="shared" si="46"/>
        <v>9080.64</v>
      </c>
      <c r="W60" s="383"/>
      <c r="X60" s="383"/>
      <c r="Y60" s="383"/>
      <c r="Z60" s="383"/>
      <c r="AA60" s="383"/>
      <c r="AB60" s="383"/>
      <c r="AC60" s="383"/>
      <c r="AD60" s="383"/>
      <c r="AE60" s="383"/>
      <c r="AF60" s="383"/>
      <c r="AG60" s="383"/>
      <c r="AH60" s="383"/>
      <c r="AI60" s="383"/>
      <c r="AJ60" s="383"/>
      <c r="AK60" s="383"/>
      <c r="AL60" s="383"/>
      <c r="AM60" s="383"/>
      <c r="AN60" s="383"/>
      <c r="AO60" s="383"/>
      <c r="AP60" s="383"/>
    </row>
    <row r="61" spans="1:42" ht="14" x14ac:dyDescent="0.15">
      <c r="A61" s="383"/>
      <c r="B61" s="383"/>
      <c r="C61" s="383"/>
      <c r="D61" s="386"/>
      <c r="E61" s="386"/>
      <c r="F61" s="386"/>
      <c r="G61" s="386"/>
      <c r="H61" s="386"/>
      <c r="I61" s="387"/>
      <c r="J61" s="387"/>
      <c r="K61" s="383"/>
      <c r="L61" s="383"/>
      <c r="M61" s="383"/>
      <c r="N61" s="383"/>
      <c r="O61" s="383"/>
      <c r="P61" s="383"/>
      <c r="Q61" s="383"/>
      <c r="R61" s="383"/>
      <c r="S61" s="383"/>
      <c r="T61" s="383"/>
      <c r="U61" s="383"/>
      <c r="V61" s="383"/>
      <c r="W61" s="383"/>
      <c r="X61" s="383"/>
      <c r="Y61" s="383"/>
      <c r="Z61" s="383"/>
      <c r="AA61" s="383"/>
      <c r="AB61" s="383"/>
      <c r="AC61" s="383"/>
      <c r="AD61" s="383"/>
      <c r="AE61" s="383"/>
      <c r="AF61" s="383"/>
      <c r="AG61" s="383"/>
      <c r="AH61" s="383"/>
      <c r="AI61" s="383"/>
      <c r="AJ61" s="383"/>
      <c r="AK61" s="383"/>
      <c r="AL61" s="383"/>
      <c r="AM61" s="383"/>
      <c r="AN61" s="383"/>
      <c r="AO61" s="383"/>
      <c r="AP61" s="383"/>
    </row>
    <row r="62" spans="1:42" ht="15" thickBot="1" x14ac:dyDescent="0.2">
      <c r="A62" s="383"/>
      <c r="B62" s="383"/>
      <c r="C62" s="383"/>
      <c r="D62" s="383"/>
      <c r="E62" s="383"/>
      <c r="F62" s="383"/>
      <c r="G62" s="386"/>
      <c r="H62" s="386"/>
      <c r="I62" s="387"/>
      <c r="J62" s="387"/>
      <c r="K62" s="383"/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  <c r="Z62" s="383"/>
      <c r="AA62" s="383"/>
      <c r="AB62" s="383"/>
      <c r="AC62" s="383"/>
      <c r="AD62" s="383"/>
      <c r="AE62" s="383"/>
      <c r="AF62" s="383"/>
      <c r="AG62" s="383"/>
      <c r="AH62" s="383"/>
      <c r="AI62" s="383"/>
      <c r="AJ62" s="383"/>
      <c r="AK62" s="383"/>
      <c r="AL62" s="383"/>
      <c r="AM62" s="383"/>
      <c r="AN62" s="383"/>
      <c r="AO62" s="383"/>
      <c r="AP62" s="383"/>
    </row>
    <row r="63" spans="1:42" ht="14" x14ac:dyDescent="0.15">
      <c r="A63" s="36" t="s">
        <v>417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9"/>
      <c r="W63" s="383"/>
      <c r="X63" s="383"/>
      <c r="Y63" s="383"/>
      <c r="Z63" s="383"/>
      <c r="AA63" s="383"/>
      <c r="AB63" s="383"/>
      <c r="AC63" s="383"/>
      <c r="AD63" s="383"/>
      <c r="AE63" s="383"/>
      <c r="AF63" s="383"/>
      <c r="AG63" s="383"/>
      <c r="AH63" s="383"/>
      <c r="AI63" s="383"/>
      <c r="AJ63" s="383"/>
      <c r="AK63" s="383"/>
      <c r="AL63" s="383"/>
      <c r="AM63" s="383"/>
      <c r="AN63" s="383"/>
      <c r="AO63" s="383"/>
      <c r="AP63" s="383"/>
    </row>
    <row r="64" spans="1:42" ht="14" x14ac:dyDescent="0.15">
      <c r="A64" s="40" t="s">
        <v>197</v>
      </c>
      <c r="B64" s="38"/>
      <c r="C64" s="47">
        <v>5000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41"/>
      <c r="W64" s="383"/>
      <c r="X64" s="383"/>
      <c r="Y64" s="383"/>
      <c r="Z64" s="383"/>
      <c r="AA64" s="383"/>
      <c r="AB64" s="383"/>
      <c r="AC64" s="383"/>
      <c r="AD64" s="383"/>
      <c r="AE64" s="383"/>
      <c r="AF64" s="383"/>
      <c r="AG64" s="383"/>
      <c r="AH64" s="383"/>
      <c r="AI64" s="383"/>
      <c r="AJ64" s="383"/>
      <c r="AK64" s="383"/>
      <c r="AL64" s="383"/>
      <c r="AM64" s="383"/>
      <c r="AN64" s="383"/>
      <c r="AO64" s="383"/>
      <c r="AP64" s="383"/>
    </row>
    <row r="65" spans="1:42" ht="14" x14ac:dyDescent="0.15">
      <c r="A65" s="40" t="s">
        <v>85</v>
      </c>
      <c r="B65" s="38"/>
      <c r="C65" s="48">
        <v>0.6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41"/>
      <c r="W65" s="383"/>
      <c r="X65" s="383"/>
      <c r="Y65" s="383"/>
      <c r="Z65" s="383"/>
      <c r="AA65" s="383"/>
      <c r="AB65" s="383"/>
      <c r="AC65" s="383"/>
      <c r="AD65" s="383"/>
      <c r="AE65" s="383"/>
      <c r="AF65" s="383"/>
      <c r="AG65" s="383"/>
      <c r="AH65" s="383"/>
      <c r="AI65" s="383"/>
      <c r="AJ65" s="383"/>
      <c r="AK65" s="383"/>
      <c r="AL65" s="383"/>
      <c r="AM65" s="383"/>
      <c r="AN65" s="383"/>
      <c r="AO65" s="383"/>
      <c r="AP65" s="383"/>
    </row>
    <row r="66" spans="1:42" ht="14" x14ac:dyDescent="0.15">
      <c r="A66" s="40" t="s">
        <v>172</v>
      </c>
      <c r="B66" s="38"/>
      <c r="C66" s="48">
        <v>0.4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41"/>
      <c r="W66" s="383"/>
      <c r="X66" s="383"/>
      <c r="Y66" s="383"/>
      <c r="Z66" s="383"/>
      <c r="AA66" s="383"/>
      <c r="AB66" s="383"/>
      <c r="AC66" s="383"/>
      <c r="AD66" s="383"/>
      <c r="AE66" s="383"/>
      <c r="AF66" s="383"/>
      <c r="AG66" s="383"/>
      <c r="AH66" s="383"/>
      <c r="AI66" s="383"/>
      <c r="AJ66" s="383"/>
      <c r="AK66" s="383"/>
      <c r="AL66" s="383"/>
      <c r="AM66" s="383"/>
      <c r="AN66" s="383"/>
      <c r="AO66" s="383"/>
      <c r="AP66" s="383"/>
    </row>
    <row r="67" spans="1:42" ht="14" x14ac:dyDescent="0.15">
      <c r="A67" s="40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41"/>
      <c r="W67" s="383"/>
      <c r="X67" s="383"/>
      <c r="Y67" s="383"/>
      <c r="Z67" s="383"/>
      <c r="AA67" s="383"/>
      <c r="AB67" s="383"/>
      <c r="AC67" s="383"/>
      <c r="AD67" s="383"/>
      <c r="AE67" s="383"/>
      <c r="AF67" s="383"/>
      <c r="AG67" s="383"/>
      <c r="AH67" s="383"/>
      <c r="AI67" s="383"/>
      <c r="AJ67" s="383"/>
      <c r="AK67" s="383"/>
      <c r="AL67" s="383"/>
      <c r="AM67" s="383"/>
      <c r="AN67" s="383"/>
      <c r="AO67" s="383"/>
      <c r="AP67" s="383"/>
    </row>
    <row r="68" spans="1:42" ht="75" x14ac:dyDescent="0.15">
      <c r="A68" s="317" t="s">
        <v>216</v>
      </c>
      <c r="B68" s="272" t="s">
        <v>198</v>
      </c>
      <c r="C68" s="274" t="s">
        <v>199</v>
      </c>
      <c r="D68" s="274" t="s">
        <v>200</v>
      </c>
      <c r="E68" s="274" t="s">
        <v>201</v>
      </c>
      <c r="F68" s="274" t="s">
        <v>202</v>
      </c>
      <c r="G68" s="274" t="s">
        <v>164</v>
      </c>
      <c r="H68" s="274" t="s">
        <v>173</v>
      </c>
      <c r="I68" s="274" t="s">
        <v>165</v>
      </c>
      <c r="J68" s="275" t="s">
        <v>544</v>
      </c>
      <c r="K68" s="276" t="s">
        <v>166</v>
      </c>
      <c r="L68" s="277" t="s">
        <v>545</v>
      </c>
      <c r="M68" s="278" t="s">
        <v>167</v>
      </c>
      <c r="N68" s="278" t="s">
        <v>168</v>
      </c>
      <c r="O68" s="278" t="s">
        <v>169</v>
      </c>
      <c r="P68" s="278" t="s">
        <v>170</v>
      </c>
      <c r="Q68" s="279" t="s">
        <v>541</v>
      </c>
      <c r="R68" s="279" t="s">
        <v>542</v>
      </c>
      <c r="S68" s="280" t="s">
        <v>546</v>
      </c>
      <c r="T68" s="280" t="s">
        <v>547</v>
      </c>
      <c r="U68" s="281" t="s">
        <v>227</v>
      </c>
      <c r="V68" s="380" t="s">
        <v>272</v>
      </c>
      <c r="W68" s="383"/>
      <c r="X68" s="383"/>
      <c r="Y68" s="383"/>
      <c r="Z68" s="383"/>
      <c r="AA68" s="383"/>
      <c r="AB68" s="383"/>
      <c r="AC68" s="383"/>
      <c r="AD68" s="383"/>
      <c r="AE68" s="383"/>
      <c r="AF68" s="383"/>
      <c r="AG68" s="383"/>
      <c r="AH68" s="383"/>
      <c r="AI68" s="383"/>
      <c r="AJ68" s="383"/>
      <c r="AK68" s="383"/>
      <c r="AL68" s="383"/>
      <c r="AM68" s="383"/>
      <c r="AN68" s="383"/>
      <c r="AO68" s="383"/>
      <c r="AP68" s="383"/>
    </row>
    <row r="69" spans="1:42" ht="14" x14ac:dyDescent="0.15">
      <c r="A69" s="70" t="str">
        <f>'SA Oct 2023'!K38</f>
        <v>Alinta Energy</v>
      </c>
      <c r="B69" s="49" t="str">
        <f>'SA Oct 2023'!L38</f>
        <v>BusinessDeal</v>
      </c>
      <c r="C69" s="46">
        <f>IF('SA Oct 2023'!BP38=0,91*'SA Oct 2023'!M38/100,(91*'SA Oct 2023'!M38/100)+'SA Oct 2023'!BP38/4)</f>
        <v>100.19927272727273</v>
      </c>
      <c r="D69" s="46">
        <f>IF('SA Oct 2023'!O38="",$C$64*$C$65*'SA Oct 2023'!N38/100,IF($C$64*$C$65&gt;='SA Oct 2023'!P38,('SA Oct 2023'!P38*'SA Oct 2023'!N38/100),($C$64*$C$65*'SA Oct 2023'!N38/100)))</f>
        <v>2182.6363636363635</v>
      </c>
      <c r="E69" s="46">
        <f>IF(AND('SA Oct 2023'!P38&gt;0,'SA Oct 2023'!R38&gt;0),IF($C$64*$C$65&lt;'SA Oct 2023'!P38,0,IF($C$64*$C$65&lt;=('SA Oct 2023'!R38+'SA Oct 2023'!P38),(($C$64*$C$65-'SA Oct 2023'!P38)*'SA Oct 2023'!Q38/100),(('SA Oct 2023'!R38)*'SA Oct 2023'!Q38/100))),0)</f>
        <v>0</v>
      </c>
      <c r="F69" s="50">
        <f>IF(AND('SA Oct 2023'!R38&gt;0,'SA Oct 2023'!T38&gt;0),IF(($C$64*$C$65&lt;'SA Oct 2023'!T38),(0),($C$64*$C$65-'SA Oct 2023'!T38)*'SA Oct 2023'!U38/100),IF(AND('SA Oct 2023'!R38&gt;0,'SA Oct 2023'!T38=""),IF(($C$64*$C$65&lt;'SA Oct 2023'!R38+'SA Oct 2023'!P38),(0),(($C$64*$C$65-('SA Oct 2023'!R38+'SA Oct 2023'!P38))*'SA Oct 2023'!S38/100)),IF(AND('SA Oct 2023'!P38&gt;0,'SA Oct 2023'!R38=""&gt;0),IF(($C$64*$C$65&lt;'SA Oct 2023'!P38),(0),($C$64*$C$65-'SA Oct 2023'!P38)*'SA Oct 2023'!Q38/100),0)))</f>
        <v>0</v>
      </c>
      <c r="G69" s="328">
        <v>0</v>
      </c>
      <c r="H69" s="51">
        <f>($C$64*$C$66)*'SA Oct 2023'!W38/100</f>
        <v>868.36363636363637</v>
      </c>
      <c r="I69" s="52">
        <f t="shared" si="38"/>
        <v>3151.1992727272727</v>
      </c>
      <c r="J69" s="109">
        <f t="shared" si="39"/>
        <v>12204</v>
      </c>
      <c r="K69" s="109">
        <f t="shared" si="40"/>
        <v>12604.797090909091</v>
      </c>
      <c r="L69" s="53">
        <f t="shared" si="41"/>
        <v>13865.276800000001</v>
      </c>
      <c r="M69" s="54">
        <f>'SA Oct 2023'!BB38</f>
        <v>0</v>
      </c>
      <c r="N69" s="54">
        <f>'SA Oct 2023'!BC38</f>
        <v>0</v>
      </c>
      <c r="O69" s="54">
        <f>'SA Oct 2023'!BD38</f>
        <v>0</v>
      </c>
      <c r="P69" s="54">
        <f>'SA Oct 2023'!BE38</f>
        <v>0</v>
      </c>
      <c r="Q69" s="110" t="str">
        <f t="shared" si="42"/>
        <v>No discount</v>
      </c>
      <c r="R69" s="73" t="str">
        <f t="shared" si="43"/>
        <v>Exclusive</v>
      </c>
      <c r="S69" s="111">
        <f t="shared" si="44"/>
        <v>12604.797090909091</v>
      </c>
      <c r="T69" s="112">
        <f t="shared" si="45"/>
        <v>12604.797090909091</v>
      </c>
      <c r="U69" s="97">
        <f t="shared" si="46"/>
        <v>13865.276800000001</v>
      </c>
      <c r="V69" s="381">
        <f t="shared" si="46"/>
        <v>13865.276800000001</v>
      </c>
      <c r="W69" s="383"/>
      <c r="X69" s="383"/>
      <c r="Y69" s="383"/>
      <c r="Z69" s="383"/>
      <c r="AA69" s="383"/>
      <c r="AB69" s="383"/>
      <c r="AC69" s="383"/>
      <c r="AD69" s="383"/>
      <c r="AE69" s="383"/>
      <c r="AF69" s="383"/>
      <c r="AG69" s="383"/>
      <c r="AH69" s="383"/>
      <c r="AI69" s="383"/>
      <c r="AJ69" s="383"/>
      <c r="AK69" s="383"/>
      <c r="AL69" s="383"/>
      <c r="AM69" s="383"/>
      <c r="AN69" s="383"/>
      <c r="AO69" s="383"/>
      <c r="AP69" s="383"/>
    </row>
    <row r="70" spans="1:42" ht="14" x14ac:dyDescent="0.15">
      <c r="A70" s="70" t="str">
        <f>'SA Oct 2023'!K39</f>
        <v>Diamond Energy</v>
      </c>
      <c r="B70" s="49" t="str">
        <f>'SA Oct 2023'!L39</f>
        <v xml:space="preserve">Renewable Saver </v>
      </c>
      <c r="C70" s="46">
        <f>IF('SA Oct 2023'!BP39=0,91*'SA Oct 2023'!M39/100,(91*'SA Oct 2023'!M39/100)+'SA Oct 2023'!BP39/4)</f>
        <v>116.54618181818181</v>
      </c>
      <c r="D70" s="46">
        <f>IF('SA Oct 2023'!O39="",$C$64*$C$65*'SA Oct 2023'!N39/100,IF($C$64*$C$65&gt;='SA Oct 2023'!P39,('SA Oct 2023'!P39*'SA Oct 2023'!N39/100),($C$64*$C$65*'SA Oct 2023'!N39/100)))</f>
        <v>499.72727272727275</v>
      </c>
      <c r="E70" s="46">
        <f>IF(AND('SA Oct 2023'!P39&gt;0,'SA Oct 2023'!R39&gt;0),IF($C$64*$C$65&lt;'SA Oct 2023'!P39,0,IF($C$64*$C$65&lt;=('SA Oct 2023'!R39+'SA Oct 2023'!P39),(($C$64*$C$65-'SA Oct 2023'!P39)*'SA Oct 2023'!Q39/100),(('SA Oct 2023'!R39)*'SA Oct 2023'!Q39/100))),0)</f>
        <v>841.36363636363637</v>
      </c>
      <c r="F70" s="50">
        <f>IF(AND('SA Oct 2023'!R39&gt;0,'SA Oct 2023'!T39&gt;0),IF(($C$64*$C$65&lt;'SA Oct 2023'!T39),(0),($C$64*$C$65-'SA Oct 2023'!T39)*'SA Oct 2023'!U39/100),IF(AND('SA Oct 2023'!R39&gt;0,'SA Oct 2023'!T39=""),IF(($C$64*$C$65&lt;'SA Oct 2023'!R39+'SA Oct 2023'!P39),(0),(($C$64*$C$65-('SA Oct 2023'!R39+'SA Oct 2023'!P39))*'SA Oct 2023'!S39/100)),IF(AND('SA Oct 2023'!P39&gt;0,'SA Oct 2023'!R39=""&gt;0),IF(($C$64*$C$65&lt;'SA Oct 2023'!P39),(0),($C$64*$C$65-'SA Oct 2023'!P39)*'SA Oct 2023'!Q39/100),0)))</f>
        <v>301.59090909090907</v>
      </c>
      <c r="G70" s="328">
        <v>0</v>
      </c>
      <c r="H70" s="51">
        <f>($C$64*$C$66)*'SA Oct 2023'!W39/100</f>
        <v>649.27272727272725</v>
      </c>
      <c r="I70" s="52">
        <f t="shared" si="38"/>
        <v>2408.5007272727271</v>
      </c>
      <c r="J70" s="109">
        <f t="shared" si="39"/>
        <v>9167.818181818182</v>
      </c>
      <c r="K70" s="109">
        <f t="shared" si="40"/>
        <v>9634.0029090909084</v>
      </c>
      <c r="L70" s="53">
        <f t="shared" si="41"/>
        <v>10597.403200000001</v>
      </c>
      <c r="M70" s="54">
        <f>'SA Oct 2023'!BB39</f>
        <v>0</v>
      </c>
      <c r="N70" s="54">
        <f>'SA Oct 2023'!BC39</f>
        <v>0</v>
      </c>
      <c r="O70" s="54">
        <f>'SA Oct 2023'!BD39</f>
        <v>2</v>
      </c>
      <c r="P70" s="54">
        <f>'SA Oct 2023'!BE39</f>
        <v>0</v>
      </c>
      <c r="Q70" s="110" t="str">
        <f t="shared" si="42"/>
        <v>Pay-on-time off bill</v>
      </c>
      <c r="R70" s="73" t="str">
        <f t="shared" si="43"/>
        <v>Exclusive</v>
      </c>
      <c r="S70" s="111">
        <f t="shared" si="44"/>
        <v>9634.0029090909084</v>
      </c>
      <c r="T70" s="112">
        <f t="shared" si="45"/>
        <v>9441.3228509090895</v>
      </c>
      <c r="U70" s="97">
        <f t="shared" si="46"/>
        <v>10597.403200000001</v>
      </c>
      <c r="V70" s="381">
        <f t="shared" si="46"/>
        <v>10385.455135999999</v>
      </c>
      <c r="W70" s="383"/>
      <c r="X70" s="383"/>
      <c r="Y70" s="383"/>
      <c r="Z70" s="383"/>
      <c r="AA70" s="383"/>
      <c r="AB70" s="383"/>
      <c r="AC70" s="383"/>
      <c r="AD70" s="383"/>
      <c r="AE70" s="383"/>
      <c r="AF70" s="383"/>
      <c r="AG70" s="383"/>
      <c r="AH70" s="383"/>
      <c r="AI70" s="383"/>
      <c r="AJ70" s="383"/>
      <c r="AK70" s="383"/>
      <c r="AL70" s="383"/>
      <c r="AM70" s="383"/>
      <c r="AN70" s="383"/>
      <c r="AO70" s="383"/>
      <c r="AP70" s="383"/>
    </row>
    <row r="71" spans="1:42" ht="14" x14ac:dyDescent="0.15">
      <c r="A71" s="70" t="str">
        <f>'SA Oct 2023'!K40</f>
        <v>EnergyAustralia</v>
      </c>
      <c r="B71" s="49" t="str">
        <f>'SA Oct 2023'!L40</f>
        <v>Balance Plan</v>
      </c>
      <c r="C71" s="46">
        <f>IF('SA Oct 2023'!BP40=0,91*'SA Oct 2023'!M40/100,(91*'SA Oct 2023'!M40/100)+'SA Oct 2023'!BP40/4)</f>
        <v>109.291</v>
      </c>
      <c r="D71" s="46">
        <f>IF('SA Oct 2023'!O40="",$C$64*$C$65*'SA Oct 2023'!N40/100,IF($C$64*$C$65&gt;='SA Oct 2023'!P40,('SA Oct 2023'!P40*'SA Oct 2023'!N40/100),($C$64*$C$65*'SA Oct 2023'!N40/100)))</f>
        <v>1696.3636363636365</v>
      </c>
      <c r="E71" s="46">
        <f>IF(AND('SA Oct 2023'!P40&gt;0,'SA Oct 2023'!R40&gt;0),IF($C$64*$C$65&lt;'SA Oct 2023'!P40,0,IF($C$64*$C$65&lt;=('SA Oct 2023'!R40+'SA Oct 2023'!P40),(($C$64*$C$65-'SA Oct 2023'!P40)*'SA Oct 2023'!Q40/100),(('SA Oct 2023'!R40)*'SA Oct 2023'!Q40/100))),0)</f>
        <v>0</v>
      </c>
      <c r="F71" s="50">
        <f>IF(AND('SA Oct 2023'!R40&gt;0,'SA Oct 2023'!T40&gt;0),IF(($C$64*$C$65&lt;'SA Oct 2023'!T40),(0),($C$64*$C$65-'SA Oct 2023'!T40)*'SA Oct 2023'!U40/100),IF(AND('SA Oct 2023'!R40&gt;0,'SA Oct 2023'!T40=""),IF(($C$64*$C$65&lt;'SA Oct 2023'!R40+'SA Oct 2023'!P40),(0),(($C$64*$C$65-('SA Oct 2023'!R40+'SA Oct 2023'!P40))*'SA Oct 2023'!S40/100)),IF(AND('SA Oct 2023'!P40&gt;0,'SA Oct 2023'!R40=""&gt;0),IF(($C$64*$C$65&lt;'SA Oct 2023'!P40),(0),($C$64*$C$65-'SA Oct 2023'!P40)*'SA Oct 2023'!Q40/100),0)))</f>
        <v>0</v>
      </c>
      <c r="G71" s="328">
        <v>0</v>
      </c>
      <c r="H71" s="51">
        <f>($C$64*$C$66)*'SA Oct 2023'!W40/100</f>
        <v>758.18181818181813</v>
      </c>
      <c r="I71" s="52">
        <f t="shared" si="38"/>
        <v>2563.8364545454547</v>
      </c>
      <c r="J71" s="109">
        <f t="shared" si="39"/>
        <v>9818.181818181818</v>
      </c>
      <c r="K71" s="109">
        <f t="shared" si="40"/>
        <v>10255.345818181819</v>
      </c>
      <c r="L71" s="53">
        <f t="shared" si="41"/>
        <v>11280.880400000002</v>
      </c>
      <c r="M71" s="54">
        <f>'SA Oct 2023'!BB40</f>
        <v>7</v>
      </c>
      <c r="N71" s="54">
        <f>'SA Oct 2023'!BC40</f>
        <v>0</v>
      </c>
      <c r="O71" s="54">
        <f>'SA Oct 2023'!BD40</f>
        <v>0</v>
      </c>
      <c r="P71" s="54">
        <f>'SA Oct 2023'!BE40</f>
        <v>0</v>
      </c>
      <c r="Q71" s="110" t="str">
        <f t="shared" ref="Q71:Q80" si="47">IF(SUM(M71:P71)=0,"No discount",IF(M71&gt;0,"Guaranteed off bill",IF(N71&gt;0,"Guaranteed off usage",IF(O71&gt;0,"Pay-on-time off bill","Pay-on-time off usage"))))</f>
        <v>Guaranteed off bill</v>
      </c>
      <c r="R71" s="73" t="str">
        <f t="shared" si="43"/>
        <v>Exclusive</v>
      </c>
      <c r="S71" s="111">
        <f t="shared" si="44"/>
        <v>9537.4716109090914</v>
      </c>
      <c r="T71" s="112">
        <f t="shared" si="45"/>
        <v>9537.4716109090914</v>
      </c>
      <c r="U71" s="97">
        <f t="shared" si="46"/>
        <v>10491.218772000002</v>
      </c>
      <c r="V71" s="381">
        <f t="shared" si="46"/>
        <v>10491.218772000002</v>
      </c>
      <c r="W71" s="383"/>
      <c r="X71" s="383"/>
      <c r="Y71" s="383"/>
      <c r="Z71" s="383"/>
      <c r="AA71" s="383"/>
      <c r="AB71" s="383"/>
      <c r="AC71" s="383"/>
      <c r="AD71" s="383"/>
      <c r="AE71" s="383"/>
      <c r="AF71" s="383"/>
      <c r="AG71" s="383"/>
      <c r="AH71" s="383"/>
      <c r="AI71" s="383"/>
      <c r="AJ71" s="383"/>
      <c r="AK71" s="383"/>
      <c r="AL71" s="383"/>
      <c r="AM71" s="383"/>
      <c r="AN71" s="383"/>
      <c r="AO71" s="383"/>
      <c r="AP71" s="383"/>
    </row>
    <row r="72" spans="1:42" ht="14" x14ac:dyDescent="0.15">
      <c r="A72" s="70" t="str">
        <f>'SA Oct 2023'!K41</f>
        <v>Lumo Energy</v>
      </c>
      <c r="B72" s="49" t="str">
        <f>'SA Oct 2023'!L41</f>
        <v>Basic</v>
      </c>
      <c r="C72" s="46">
        <f>IF('SA Oct 2023'!BP41=0,91*'SA Oct 2023'!M41/100,(91*'SA Oct 2023'!M41/100)+'SA Oct 2023'!BP41/4)</f>
        <v>118.3</v>
      </c>
      <c r="D72" s="46">
        <f>IF('SA Oct 2023'!O41="",$C$64*$C$65*'SA Oct 2023'!N41/100,IF($C$64*$C$65&gt;='SA Oct 2023'!P41,('SA Oct 2023'!P41*'SA Oct 2023'!N41/100),($C$64*$C$65*'SA Oct 2023'!N41/100)))</f>
        <v>1439.9999999999998</v>
      </c>
      <c r="E72" s="46">
        <f>IF(AND('SA Oct 2023'!P41&gt;0,'SA Oct 2023'!R41&gt;0),IF($C$64*$C$65&lt;'SA Oct 2023'!P41,0,IF($C$64*$C$65&lt;=('SA Oct 2023'!R41+'SA Oct 2023'!P41),(($C$64*$C$65-'SA Oct 2023'!P41)*'SA Oct 2023'!Q41/100),(('SA Oct 2023'!R41)*'SA Oct 2023'!Q41/100))),0)</f>
        <v>0</v>
      </c>
      <c r="F72" s="50">
        <f>IF(AND('SA Oct 2023'!R41&gt;0,'SA Oct 2023'!T41&gt;0),IF(($C$64*$C$65&lt;'SA Oct 2023'!T41),(0),($C$64*$C$65-'SA Oct 2023'!T41)*'SA Oct 2023'!U41/100),IF(AND('SA Oct 2023'!R41&gt;0,'SA Oct 2023'!T41=""),IF(($C$64*$C$65&lt;'SA Oct 2023'!R41+'SA Oct 2023'!P41),(0),(($C$64*$C$65-('SA Oct 2023'!R41+'SA Oct 2023'!P41))*'SA Oct 2023'!S41/100)),IF(AND('SA Oct 2023'!P41&gt;0,'SA Oct 2023'!R41=""&gt;0),IF(($C$64*$C$65&lt;'SA Oct 2023'!P41),(0),($C$64*$C$65-'SA Oct 2023'!P41)*'SA Oct 2023'!Q41/100),0)))</f>
        <v>0</v>
      </c>
      <c r="G72" s="328">
        <v>0</v>
      </c>
      <c r="H72" s="51">
        <f>($C$64*$C$66)*'SA Oct 2023'!W41/100</f>
        <v>620</v>
      </c>
      <c r="I72" s="52">
        <f t="shared" si="38"/>
        <v>2178.2999999999997</v>
      </c>
      <c r="J72" s="109">
        <f t="shared" si="39"/>
        <v>8239.9999999999982</v>
      </c>
      <c r="K72" s="109">
        <f t="shared" si="40"/>
        <v>8713.1999999999989</v>
      </c>
      <c r="L72" s="53">
        <f t="shared" si="41"/>
        <v>9584.52</v>
      </c>
      <c r="M72" s="54">
        <f>'SA Oct 2023'!BB41</f>
        <v>0</v>
      </c>
      <c r="N72" s="54">
        <f>'SA Oct 2023'!BC41</f>
        <v>0</v>
      </c>
      <c r="O72" s="54">
        <f>'SA Oct 2023'!BD41</f>
        <v>0</v>
      </c>
      <c r="P72" s="54">
        <f>'SA Oct 2023'!BE41</f>
        <v>0</v>
      </c>
      <c r="Q72" s="110" t="str">
        <f t="shared" si="47"/>
        <v>No discount</v>
      </c>
      <c r="R72" s="73" t="str">
        <f t="shared" si="43"/>
        <v>Exclusive</v>
      </c>
      <c r="S72" s="111">
        <f t="shared" si="44"/>
        <v>8713.1999999999989</v>
      </c>
      <c r="T72" s="112">
        <f t="shared" si="45"/>
        <v>8713.1999999999989</v>
      </c>
      <c r="U72" s="97">
        <f t="shared" si="46"/>
        <v>9584.52</v>
      </c>
      <c r="V72" s="381">
        <f t="shared" si="46"/>
        <v>9584.52</v>
      </c>
      <c r="W72" s="383"/>
      <c r="X72" s="383"/>
      <c r="Y72" s="383"/>
      <c r="Z72" s="383"/>
      <c r="AA72" s="383"/>
      <c r="AB72" s="383"/>
      <c r="AC72" s="383"/>
      <c r="AD72" s="383"/>
      <c r="AE72" s="383"/>
      <c r="AF72" s="383"/>
      <c r="AG72" s="383"/>
      <c r="AH72" s="383"/>
      <c r="AI72" s="383"/>
      <c r="AJ72" s="383"/>
      <c r="AK72" s="383"/>
      <c r="AL72" s="383"/>
      <c r="AM72" s="383"/>
      <c r="AN72" s="383"/>
      <c r="AO72" s="383"/>
      <c r="AP72" s="383"/>
    </row>
    <row r="73" spans="1:42" ht="14" x14ac:dyDescent="0.15">
      <c r="A73" s="70" t="str">
        <f>'SA Oct 2023'!K42</f>
        <v>Origin Energy</v>
      </c>
      <c r="B73" s="49" t="str">
        <f>'SA Oct 2023'!L42</f>
        <v>Go Variable</v>
      </c>
      <c r="C73" s="46">
        <f>IF('SA Oct 2023'!BP42=0,91*'SA Oct 2023'!M42/100,(91*'SA Oct 2023'!M42/100)+'SA Oct 2023'!BP42/4)</f>
        <v>89.204818181818169</v>
      </c>
      <c r="D73" s="46">
        <f>IF('SA Oct 2023'!O42="",$C$64*$C$65*'SA Oct 2023'!N42/100,IF($C$64*$C$65&gt;='SA Oct 2023'!P42,('SA Oct 2023'!P42*'SA Oct 2023'!N42/100),($C$64*$C$65*'SA Oct 2023'!N42/100)))</f>
        <v>1466.4545454545455</v>
      </c>
      <c r="E73" s="46">
        <f>IF(AND('SA Oct 2023'!P42&gt;0,'SA Oct 2023'!R42&gt;0),IF($C$64*$C$65&lt;'SA Oct 2023'!P42,0,IF($C$64*$C$65&lt;=('SA Oct 2023'!R42+'SA Oct 2023'!P42),(($C$64*$C$65-'SA Oct 2023'!P42)*'SA Oct 2023'!Q42/100),(('SA Oct 2023'!R42)*'SA Oct 2023'!Q42/100))),0)</f>
        <v>0</v>
      </c>
      <c r="F73" s="50">
        <f>IF(AND('SA Oct 2023'!R42&gt;0,'SA Oct 2023'!T42&gt;0),IF(($C$64*$C$65&lt;'SA Oct 2023'!T42),(0),($C$64*$C$65-'SA Oct 2023'!T42)*'SA Oct 2023'!U42/100),IF(AND('SA Oct 2023'!R42&gt;0,'SA Oct 2023'!T42=""),IF(($C$64*$C$65&lt;'SA Oct 2023'!R42+'SA Oct 2023'!P42),(0),(($C$64*$C$65-('SA Oct 2023'!R42+'SA Oct 2023'!P42))*'SA Oct 2023'!S42/100)),IF(AND('SA Oct 2023'!P42&gt;0,'SA Oct 2023'!R42=""&gt;0),IF(($C$64*$C$65&lt;'SA Oct 2023'!P42),(0),($C$64*$C$65-'SA Oct 2023'!P42)*'SA Oct 2023'!Q42/100),0)))</f>
        <v>0</v>
      </c>
      <c r="G73" s="328">
        <v>0</v>
      </c>
      <c r="H73" s="51">
        <f>($C$64*$C$66)*'SA Oct 2023'!W42/100</f>
        <v>635.4545454545455</v>
      </c>
      <c r="I73" s="52">
        <f t="shared" si="38"/>
        <v>2191.1139090909091</v>
      </c>
      <c r="J73" s="109">
        <f t="shared" si="39"/>
        <v>8407.636363636364</v>
      </c>
      <c r="K73" s="109">
        <f t="shared" si="40"/>
        <v>8764.4556363636366</v>
      </c>
      <c r="L73" s="53">
        <f t="shared" si="41"/>
        <v>9640.9012000000002</v>
      </c>
      <c r="M73" s="54">
        <f>'SA Oct 2023'!BB42</f>
        <v>0</v>
      </c>
      <c r="N73" s="54">
        <f>'SA Oct 2023'!BC42</f>
        <v>0</v>
      </c>
      <c r="O73" s="54">
        <f>'SA Oct 2023'!BD42</f>
        <v>0</v>
      </c>
      <c r="P73" s="54">
        <f>'SA Oct 2023'!BE42</f>
        <v>0</v>
      </c>
      <c r="Q73" s="110" t="str">
        <f t="shared" si="47"/>
        <v>No discount</v>
      </c>
      <c r="R73" s="73" t="str">
        <f t="shared" si="43"/>
        <v>Inclusive</v>
      </c>
      <c r="S73" s="111">
        <f t="shared" si="44"/>
        <v>8764.4556363636366</v>
      </c>
      <c r="T73" s="112">
        <f t="shared" si="45"/>
        <v>8764.4556363636366</v>
      </c>
      <c r="U73" s="97">
        <f t="shared" si="46"/>
        <v>9640.9012000000002</v>
      </c>
      <c r="V73" s="381">
        <f t="shared" si="46"/>
        <v>9640.9012000000002</v>
      </c>
      <c r="W73" s="383"/>
      <c r="X73" s="383"/>
      <c r="Y73" s="383"/>
      <c r="Z73" s="383"/>
      <c r="AA73" s="383"/>
      <c r="AB73" s="383"/>
      <c r="AC73" s="383"/>
      <c r="AD73" s="383"/>
      <c r="AE73" s="383"/>
      <c r="AF73" s="383"/>
      <c r="AG73" s="383"/>
      <c r="AH73" s="383"/>
      <c r="AI73" s="383"/>
      <c r="AJ73" s="383"/>
      <c r="AK73" s="383"/>
      <c r="AL73" s="383"/>
      <c r="AM73" s="383"/>
      <c r="AN73" s="383"/>
      <c r="AO73" s="383"/>
      <c r="AP73" s="383"/>
    </row>
    <row r="74" spans="1:42" ht="14" x14ac:dyDescent="0.15">
      <c r="A74" s="70" t="str">
        <f>'SA Oct 2023'!K43</f>
        <v>Red Energy</v>
      </c>
      <c r="B74" s="49" t="str">
        <f>'SA Oct 2023'!L43</f>
        <v>Red Business Saver</v>
      </c>
      <c r="C74" s="46">
        <f>IF('SA Oct 2023'!BP43=0,91*'SA Oct 2023'!M43/100,(91*'SA Oct 2023'!M43/100)+'SA Oct 2023'!BP43/4)</f>
        <v>118.3</v>
      </c>
      <c r="D74" s="46">
        <f>IF('SA Oct 2023'!O43="",$C$64*$C$65*'SA Oct 2023'!N43/100,IF($C$64*$C$65&gt;='SA Oct 2023'!P43,('SA Oct 2023'!P43*'SA Oct 2023'!N43/100),($C$64*$C$65*'SA Oct 2023'!N43/100)))</f>
        <v>1439.9999999999998</v>
      </c>
      <c r="E74" s="46">
        <f>IF(AND('SA Oct 2023'!P43&gt;0,'SA Oct 2023'!R43&gt;0),IF($C$64*$C$65&lt;'SA Oct 2023'!P43,0,IF($C$64*$C$65&lt;=('SA Oct 2023'!R43+'SA Oct 2023'!P43),(($C$64*$C$65-'SA Oct 2023'!P43)*'SA Oct 2023'!Q43/100),(('SA Oct 2023'!R43)*'SA Oct 2023'!Q43/100))),0)</f>
        <v>0</v>
      </c>
      <c r="F74" s="50">
        <f>IF(AND('SA Oct 2023'!R43&gt;0,'SA Oct 2023'!T43&gt;0),IF(($C$64*$C$65&lt;'SA Oct 2023'!T43),(0),($C$64*$C$65-'SA Oct 2023'!T43)*'SA Oct 2023'!U43/100),IF(AND('SA Oct 2023'!R43&gt;0,'SA Oct 2023'!T43=""),IF(($C$64*$C$65&lt;'SA Oct 2023'!R43+'SA Oct 2023'!P43),(0),(($C$64*$C$65-('SA Oct 2023'!R43+'SA Oct 2023'!P43))*'SA Oct 2023'!S43/100)),IF(AND('SA Oct 2023'!P43&gt;0,'SA Oct 2023'!R43=""&gt;0),IF(($C$64*$C$65&lt;'SA Oct 2023'!P43),(0),($C$64*$C$65-'SA Oct 2023'!P43)*'SA Oct 2023'!Q43/100),0)))</f>
        <v>0</v>
      </c>
      <c r="G74" s="328">
        <v>0</v>
      </c>
      <c r="H74" s="51">
        <f>($C$64*$C$66)*'SA Oct 2023'!W43/100</f>
        <v>620</v>
      </c>
      <c r="I74" s="52">
        <f t="shared" si="38"/>
        <v>2178.2999999999997</v>
      </c>
      <c r="J74" s="109">
        <f t="shared" si="39"/>
        <v>8239.9999999999982</v>
      </c>
      <c r="K74" s="109">
        <f t="shared" si="40"/>
        <v>8713.1999999999989</v>
      </c>
      <c r="L74" s="53">
        <f t="shared" si="41"/>
        <v>9584.52</v>
      </c>
      <c r="M74" s="54">
        <f>'SA Oct 2023'!BB43</f>
        <v>0</v>
      </c>
      <c r="N74" s="54">
        <f>'SA Oct 2023'!BC43</f>
        <v>0</v>
      </c>
      <c r="O74" s="54">
        <f>'SA Oct 2023'!BD43</f>
        <v>0</v>
      </c>
      <c r="P74" s="54">
        <f>'SA Oct 2023'!BE43</f>
        <v>0</v>
      </c>
      <c r="Q74" s="110" t="str">
        <f t="shared" si="47"/>
        <v>No discount</v>
      </c>
      <c r="R74" s="73" t="str">
        <f t="shared" si="43"/>
        <v>Inclusive</v>
      </c>
      <c r="S74" s="111">
        <f t="shared" si="44"/>
        <v>8713.1999999999989</v>
      </c>
      <c r="T74" s="112">
        <f t="shared" si="45"/>
        <v>8713.1999999999989</v>
      </c>
      <c r="U74" s="97">
        <f t="shared" si="46"/>
        <v>9584.52</v>
      </c>
      <c r="V74" s="381">
        <f t="shared" si="46"/>
        <v>9584.52</v>
      </c>
      <c r="W74" s="383"/>
      <c r="X74" s="383"/>
      <c r="Y74" s="383"/>
      <c r="Z74" s="383"/>
      <c r="AA74" s="383"/>
      <c r="AB74" s="383"/>
      <c r="AC74" s="383"/>
      <c r="AD74" s="383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</row>
    <row r="75" spans="1:42" ht="14" x14ac:dyDescent="0.15">
      <c r="A75" s="70" t="str">
        <f>'SA Oct 2023'!K44</f>
        <v>Simply Energy</v>
      </c>
      <c r="B75" s="49" t="str">
        <f>'SA Oct 2023'!L44</f>
        <v>Business Saver</v>
      </c>
      <c r="C75" s="46">
        <f>IF('SA Oct 2023'!BP44=0,91*'SA Oct 2023'!M44/100,(91*'SA Oct 2023'!M44/100)+'SA Oct 2023'!BP44/4)</f>
        <v>100.73699999999999</v>
      </c>
      <c r="D75" s="46">
        <f>IF('SA Oct 2023'!O44="",$C$64*$C$65*'SA Oct 2023'!N44/100,IF($C$64*$C$65&gt;='SA Oct 2023'!P44,('SA Oct 2023'!P44*'SA Oct 2023'!N44/100),($C$64*$C$65*'SA Oct 2023'!N44/100)))</f>
        <v>1648.6363636363635</v>
      </c>
      <c r="E75" s="46">
        <f>IF(AND('SA Oct 2023'!P44&gt;0,'SA Oct 2023'!R44&gt;0),IF($C$64*$C$65&lt;'SA Oct 2023'!P44,0,IF($C$64*$C$65&lt;=('SA Oct 2023'!R44+'SA Oct 2023'!P44),(($C$64*$C$65-'SA Oct 2023'!P44)*'SA Oct 2023'!Q44/100),(('SA Oct 2023'!R44)*'SA Oct 2023'!Q44/100))),0)</f>
        <v>0</v>
      </c>
      <c r="F75" s="50">
        <f>IF(AND('SA Oct 2023'!R44&gt;0,'SA Oct 2023'!T44&gt;0),IF(($C$64*$C$65&lt;'SA Oct 2023'!T44),(0),($C$64*$C$65-'SA Oct 2023'!T44)*'SA Oct 2023'!U44/100),IF(AND('SA Oct 2023'!R44&gt;0,'SA Oct 2023'!T44=""),IF(($C$64*$C$65&lt;'SA Oct 2023'!R44+'SA Oct 2023'!P44),(0),(($C$64*$C$65-('SA Oct 2023'!R44+'SA Oct 2023'!P44))*'SA Oct 2023'!S44/100)),IF(AND('SA Oct 2023'!P44&gt;0,'SA Oct 2023'!R44=""&gt;0),IF(($C$64*$C$65&lt;'SA Oct 2023'!P44),(0),($C$64*$C$65-'SA Oct 2023'!P44)*'SA Oct 2023'!Q44/100),0)))</f>
        <v>0</v>
      </c>
      <c r="G75" s="328">
        <v>0</v>
      </c>
      <c r="H75" s="51">
        <f>($C$64*$C$66)*'SA Oct 2023'!W44/100</f>
        <v>815.63636363636363</v>
      </c>
      <c r="I75" s="52">
        <f t="shared" si="38"/>
        <v>2565.0097272727271</v>
      </c>
      <c r="J75" s="109">
        <f t="shared" si="39"/>
        <v>9857.0909090909081</v>
      </c>
      <c r="K75" s="109">
        <f t="shared" si="40"/>
        <v>10260.038909090908</v>
      </c>
      <c r="L75" s="53">
        <f t="shared" si="41"/>
        <v>11286.042800000001</v>
      </c>
      <c r="M75" s="54">
        <f>'SA Oct 2023'!BB44</f>
        <v>0</v>
      </c>
      <c r="N75" s="54">
        <f>'SA Oct 2023'!BC44</f>
        <v>0</v>
      </c>
      <c r="O75" s="54">
        <f>'SA Oct 2023'!BD44</f>
        <v>0</v>
      </c>
      <c r="P75" s="54">
        <f>'SA Oct 2023'!BE44</f>
        <v>0</v>
      </c>
      <c r="Q75" s="110" t="str">
        <f t="shared" si="47"/>
        <v>No discount</v>
      </c>
      <c r="R75" s="73" t="str">
        <f t="shared" si="43"/>
        <v>Exclusive</v>
      </c>
      <c r="S75" s="111">
        <f t="shared" si="44"/>
        <v>10260.038909090908</v>
      </c>
      <c r="T75" s="112">
        <f t="shared" si="45"/>
        <v>10260.038909090908</v>
      </c>
      <c r="U75" s="97">
        <f t="shared" si="46"/>
        <v>11286.042800000001</v>
      </c>
      <c r="V75" s="381">
        <f t="shared" si="46"/>
        <v>11286.042800000001</v>
      </c>
      <c r="W75" s="383"/>
      <c r="X75" s="383"/>
      <c r="Y75" s="383"/>
      <c r="Z75" s="383"/>
      <c r="AA75" s="383"/>
      <c r="AB75" s="383"/>
      <c r="AC75" s="383"/>
      <c r="AD75" s="383"/>
      <c r="AE75" s="383"/>
      <c r="AF75" s="383"/>
      <c r="AG75" s="383"/>
      <c r="AH75" s="383"/>
      <c r="AI75" s="383"/>
      <c r="AJ75" s="383"/>
      <c r="AK75" s="383"/>
      <c r="AL75" s="383"/>
      <c r="AM75" s="383"/>
      <c r="AN75" s="383"/>
      <c r="AO75" s="383"/>
      <c r="AP75" s="383"/>
    </row>
    <row r="76" spans="1:42" ht="14" x14ac:dyDescent="0.15">
      <c r="A76" s="70" t="str">
        <f>'SA Oct 2023'!K45</f>
        <v>Powershop</v>
      </c>
      <c r="B76" s="49" t="str">
        <f>'SA Oct 2023'!L45</f>
        <v>100% Carbon Neutral</v>
      </c>
      <c r="C76" s="46">
        <f>IF('SA Oct 2023'!BP45=0,91*'SA Oct 2023'!M45/100,(91*'SA Oct 2023'!M45/100)+'SA Oct 2023'!BP45/4)</f>
        <v>141.95999999999998</v>
      </c>
      <c r="D76" s="46">
        <f>IF('SA Oct 2023'!O45="",$C$64*$C$65*'SA Oct 2023'!N45/100,IF($C$64*$C$65&gt;='SA Oct 2023'!P45,('SA Oct 2023'!P45*'SA Oct 2023'!N45/100),($C$64*$C$65*'SA Oct 2023'!N45/100)))</f>
        <v>1553.9999999999998</v>
      </c>
      <c r="E76" s="46">
        <f>IF(AND('SA Oct 2023'!P45&gt;0,'SA Oct 2023'!R45&gt;0),IF($C$64*$C$65&lt;'SA Oct 2023'!P45,0,IF($C$64*$C$65&lt;=('SA Oct 2023'!R45+'SA Oct 2023'!P45),(($C$64*$C$65-'SA Oct 2023'!P45)*'SA Oct 2023'!Q45/100),(('SA Oct 2023'!R45)*'SA Oct 2023'!Q45/100))),0)</f>
        <v>0</v>
      </c>
      <c r="F76" s="50">
        <f>IF(AND('SA Oct 2023'!R45&gt;0,'SA Oct 2023'!T45&gt;0),IF(($C$64*$C$65&lt;'SA Oct 2023'!T45),(0),($C$64*$C$65-'SA Oct 2023'!T45)*'SA Oct 2023'!U45/100),IF(AND('SA Oct 2023'!R45&gt;0,'SA Oct 2023'!T45=""),IF(($C$64*$C$65&lt;'SA Oct 2023'!R45+'SA Oct 2023'!P45),(0),(($C$64*$C$65-('SA Oct 2023'!R45+'SA Oct 2023'!P45))*'SA Oct 2023'!S45/100)),IF(AND('SA Oct 2023'!P45&gt;0,'SA Oct 2023'!R45=""&gt;0),IF(($C$64*$C$65&lt;'SA Oct 2023'!P45),(0),($C$64*$C$65-'SA Oct 2023'!P45)*'SA Oct 2023'!Q45/100),0)))</f>
        <v>0</v>
      </c>
      <c r="G76" s="328">
        <v>0</v>
      </c>
      <c r="H76" s="51">
        <f>($C$64*$C$66)*'SA Oct 2023'!W45/100</f>
        <v>834.72727272727252</v>
      </c>
      <c r="I76" s="52">
        <f t="shared" si="38"/>
        <v>2530.6872727272721</v>
      </c>
      <c r="J76" s="109">
        <f t="shared" si="39"/>
        <v>9554.9090909090883</v>
      </c>
      <c r="K76" s="109">
        <f t="shared" si="40"/>
        <v>10122.749090909088</v>
      </c>
      <c r="L76" s="53">
        <f t="shared" si="41"/>
        <v>11135.023999999998</v>
      </c>
      <c r="M76" s="54">
        <f>'SA Oct 2023'!BB45</f>
        <v>0</v>
      </c>
      <c r="N76" s="54">
        <f>'SA Oct 2023'!BC45</f>
        <v>0</v>
      </c>
      <c r="O76" s="54">
        <f>'SA Oct 2023'!BD45</f>
        <v>0</v>
      </c>
      <c r="P76" s="54">
        <f>'SA Oct 2023'!BE45</f>
        <v>0</v>
      </c>
      <c r="Q76" s="110" t="str">
        <f t="shared" si="47"/>
        <v>No discount</v>
      </c>
      <c r="R76" s="73" t="str">
        <f t="shared" si="43"/>
        <v>Inclusive</v>
      </c>
      <c r="S76" s="111">
        <f t="shared" si="44"/>
        <v>10122.749090909088</v>
      </c>
      <c r="T76" s="112">
        <f t="shared" si="45"/>
        <v>10122.749090909088</v>
      </c>
      <c r="U76" s="97">
        <f t="shared" si="46"/>
        <v>11135.023999999998</v>
      </c>
      <c r="V76" s="381">
        <f t="shared" si="46"/>
        <v>11135.023999999998</v>
      </c>
      <c r="W76" s="383"/>
      <c r="X76" s="383"/>
      <c r="Y76" s="383"/>
      <c r="Z76" s="383"/>
      <c r="AA76" s="383"/>
      <c r="AB76" s="383"/>
      <c r="AC76" s="383"/>
      <c r="AD76" s="383"/>
      <c r="AE76" s="383"/>
      <c r="AF76" s="383"/>
      <c r="AG76" s="383"/>
      <c r="AH76" s="383"/>
      <c r="AI76" s="383"/>
      <c r="AJ76" s="383"/>
      <c r="AK76" s="383"/>
      <c r="AL76" s="383"/>
      <c r="AM76" s="383"/>
      <c r="AN76" s="383"/>
      <c r="AO76" s="383"/>
      <c r="AP76" s="383"/>
    </row>
    <row r="77" spans="1:42" ht="14" x14ac:dyDescent="0.15">
      <c r="A77" s="70" t="str">
        <f>'SA Oct 2023'!K46</f>
        <v>Energy Locals</v>
      </c>
      <c r="B77" s="49" t="str">
        <f>'SA Oct 2023'!L46</f>
        <v>Business Member</v>
      </c>
      <c r="C77" s="46">
        <f>IF('SA Oct 2023'!BP46=0,91*'SA Oct 2023'!M46/100,(91*'SA Oct 2023'!M46/100)+'SA Oct 2023'!BP46/4)</f>
        <v>121.24090909090907</v>
      </c>
      <c r="D77" s="46">
        <f>IF('SA Oct 2023'!O46="",$C$64*$C$65*'SA Oct 2023'!N46/100,IF($C$64*$C$65&gt;='SA Oct 2023'!P46,('SA Oct 2023'!P46*'SA Oct 2023'!N46/100),($C$64*$C$65*'SA Oct 2023'!N46/100)))</f>
        <v>1159.090909090909</v>
      </c>
      <c r="E77" s="46">
        <f>IF(AND('SA Oct 2023'!P46&gt;0,'SA Oct 2023'!R46&gt;0),IF($C$64*$C$65&lt;'SA Oct 2023'!P46,0,IF($C$64*$C$65&lt;=('SA Oct 2023'!R46+'SA Oct 2023'!P46),(($C$64*$C$65-'SA Oct 2023'!P46)*'SA Oct 2023'!Q46/100),(('SA Oct 2023'!R46)*'SA Oct 2023'!Q46/100))),0)</f>
        <v>0</v>
      </c>
      <c r="F77" s="50">
        <f>IF(AND('SA Oct 2023'!R46&gt;0,'SA Oct 2023'!T46&gt;0),IF(($C$64*$C$65&lt;'SA Oct 2023'!T46),(0),($C$64*$C$65-'SA Oct 2023'!T46)*'SA Oct 2023'!U46/100),IF(AND('SA Oct 2023'!R46&gt;0,'SA Oct 2023'!T46=""),IF(($C$64*$C$65&lt;'SA Oct 2023'!R46+'SA Oct 2023'!P46),(0),(($C$64*$C$65-('SA Oct 2023'!R46+'SA Oct 2023'!P46))*'SA Oct 2023'!S46/100)),IF(AND('SA Oct 2023'!P46&gt;0,'SA Oct 2023'!R46=""&gt;0),IF(($C$64*$C$65&lt;'SA Oct 2023'!P46),(0),($C$64*$C$65-'SA Oct 2023'!P46)*'SA Oct 2023'!Q46/100),0)))</f>
        <v>0</v>
      </c>
      <c r="G77" s="328">
        <v>0</v>
      </c>
      <c r="H77" s="51">
        <f>($C$64*$C$66)*'SA Oct 2023'!W46/100</f>
        <v>599.99999999999989</v>
      </c>
      <c r="I77" s="52">
        <f t="shared" si="38"/>
        <v>1880.3318181818181</v>
      </c>
      <c r="J77" s="109">
        <f t="shared" si="39"/>
        <v>7036.363636363636</v>
      </c>
      <c r="K77" s="109">
        <f t="shared" si="40"/>
        <v>7521.3272727272724</v>
      </c>
      <c r="L77" s="53">
        <f t="shared" si="41"/>
        <v>8273.4600000000009</v>
      </c>
      <c r="M77" s="54">
        <f>'SA Oct 2023'!BB46</f>
        <v>0</v>
      </c>
      <c r="N77" s="54">
        <f>'SA Oct 2023'!BC46</f>
        <v>0</v>
      </c>
      <c r="O77" s="54">
        <f>'SA Oct 2023'!BD46</f>
        <v>0</v>
      </c>
      <c r="P77" s="54">
        <f>'SA Oct 2023'!BE46</f>
        <v>0</v>
      </c>
      <c r="Q77" s="110" t="str">
        <f t="shared" si="47"/>
        <v>No discount</v>
      </c>
      <c r="R77" s="73" t="str">
        <f t="shared" si="43"/>
        <v>Exclusive</v>
      </c>
      <c r="S77" s="111">
        <f t="shared" si="44"/>
        <v>7521.3272727272724</v>
      </c>
      <c r="T77" s="112">
        <f t="shared" si="45"/>
        <v>7521.3272727272724</v>
      </c>
      <c r="U77" s="97">
        <f t="shared" si="46"/>
        <v>8273.4600000000009</v>
      </c>
      <c r="V77" s="381">
        <f t="shared" si="46"/>
        <v>8273.4600000000009</v>
      </c>
      <c r="W77" s="383"/>
      <c r="X77" s="383"/>
      <c r="Y77" s="383"/>
      <c r="Z77" s="383"/>
      <c r="AA77" s="383"/>
      <c r="AB77" s="383"/>
      <c r="AC77" s="383"/>
      <c r="AD77" s="383"/>
      <c r="AE77" s="383"/>
      <c r="AF77" s="383"/>
      <c r="AG77" s="383"/>
      <c r="AH77" s="383"/>
      <c r="AI77" s="383"/>
      <c r="AJ77" s="383"/>
      <c r="AK77" s="383"/>
      <c r="AL77" s="383"/>
      <c r="AM77" s="383"/>
      <c r="AN77" s="383"/>
      <c r="AO77" s="383"/>
      <c r="AP77" s="383"/>
    </row>
    <row r="78" spans="1:42" ht="14" x14ac:dyDescent="0.15">
      <c r="A78" s="70" t="str">
        <f>'SA Oct 2023'!K47</f>
        <v>ReAmped Energy</v>
      </c>
      <c r="B78" s="49" t="str">
        <f>'SA Oct 2023'!L47</f>
        <v>Business</v>
      </c>
      <c r="C78" s="46">
        <f>IF('SA Oct 2023'!BP47=0,91*'SA Oct 2023'!M47/100,(91*'SA Oct 2023'!M47/100)+'SA Oct 2023'!BP47/4)</f>
        <v>92.331909090909079</v>
      </c>
      <c r="D78" s="46">
        <f>IF('SA Oct 2023'!O47="",$C$64*$C$65*'SA Oct 2023'!N47/100,IF($C$64*$C$65&gt;='SA Oct 2023'!P47,('SA Oct 2023'!P47*'SA Oct 2023'!N47/100),($C$64*$C$65*'SA Oct 2023'!N47/100)))</f>
        <v>1563.8181818181818</v>
      </c>
      <c r="E78" s="46">
        <f>IF(AND('SA Oct 2023'!P47&gt;0,'SA Oct 2023'!R47&gt;0),IF($C$64*$C$65&lt;'SA Oct 2023'!P47,0,IF($C$64*$C$65&lt;=('SA Oct 2023'!R47+'SA Oct 2023'!P47),(($C$64*$C$65-'SA Oct 2023'!P47)*'SA Oct 2023'!Q47/100),(('SA Oct 2023'!R47)*'SA Oct 2023'!Q47/100))),0)</f>
        <v>0</v>
      </c>
      <c r="F78" s="50">
        <f>IF(AND('SA Oct 2023'!R47&gt;0,'SA Oct 2023'!T47&gt;0),IF(($C$64*$C$65&lt;'SA Oct 2023'!T47),(0),($C$64*$C$65-'SA Oct 2023'!T47)*'SA Oct 2023'!U47/100),IF(AND('SA Oct 2023'!R47&gt;0,'SA Oct 2023'!T47=""),IF(($C$64*$C$65&lt;'SA Oct 2023'!R47+'SA Oct 2023'!P47),(0),(($C$64*$C$65-('SA Oct 2023'!R47+'SA Oct 2023'!P47))*'SA Oct 2023'!S47/100)),IF(AND('SA Oct 2023'!P47&gt;0,'SA Oct 2023'!R47=""&gt;0),IF(($C$64*$C$65&lt;'SA Oct 2023'!P47),(0),($C$64*$C$65-'SA Oct 2023'!P47)*'SA Oct 2023'!Q47/100),0)))</f>
        <v>0</v>
      </c>
      <c r="G78" s="328">
        <v>0</v>
      </c>
      <c r="H78" s="51">
        <f>($C$64*$C$66)*'SA Oct 2023'!W47/100</f>
        <v>945.45454545454527</v>
      </c>
      <c r="I78" s="52">
        <f t="shared" si="38"/>
        <v>2601.604636363636</v>
      </c>
      <c r="J78" s="109">
        <f t="shared" si="39"/>
        <v>10037.090909090908</v>
      </c>
      <c r="K78" s="109">
        <f t="shared" si="40"/>
        <v>10406.418545454544</v>
      </c>
      <c r="L78" s="53">
        <f t="shared" si="41"/>
        <v>11447.0604</v>
      </c>
      <c r="M78" s="54">
        <f>'SA Oct 2023'!BB47</f>
        <v>0</v>
      </c>
      <c r="N78" s="54">
        <f>'SA Oct 2023'!BC47</f>
        <v>0</v>
      </c>
      <c r="O78" s="54">
        <f>'SA Oct 2023'!BD47</f>
        <v>0</v>
      </c>
      <c r="P78" s="54">
        <f>'SA Oct 2023'!BE47</f>
        <v>0</v>
      </c>
      <c r="Q78" s="110" t="str">
        <f t="shared" si="47"/>
        <v>No discount</v>
      </c>
      <c r="R78" s="73" t="str">
        <f t="shared" si="43"/>
        <v>Exclusive</v>
      </c>
      <c r="S78" s="111">
        <f t="shared" si="44"/>
        <v>10406.418545454544</v>
      </c>
      <c r="T78" s="112">
        <f t="shared" si="45"/>
        <v>10406.418545454544</v>
      </c>
      <c r="U78" s="97">
        <f t="shared" ref="U78:V82" si="48">S78*1.1</f>
        <v>11447.0604</v>
      </c>
      <c r="V78" s="381">
        <f t="shared" si="48"/>
        <v>11447.0604</v>
      </c>
      <c r="W78" s="383"/>
      <c r="X78" s="383"/>
      <c r="Y78" s="383"/>
      <c r="Z78" s="383"/>
      <c r="AA78" s="383"/>
      <c r="AB78" s="383"/>
      <c r="AC78" s="383"/>
      <c r="AD78" s="383"/>
      <c r="AE78" s="383"/>
      <c r="AF78" s="383"/>
      <c r="AG78" s="383"/>
      <c r="AH78" s="383"/>
      <c r="AI78" s="383"/>
      <c r="AJ78" s="383"/>
      <c r="AK78" s="383"/>
      <c r="AL78" s="383"/>
      <c r="AM78" s="383"/>
      <c r="AN78" s="383"/>
      <c r="AO78" s="383"/>
      <c r="AP78" s="383"/>
    </row>
    <row r="79" spans="1:42" ht="14" x14ac:dyDescent="0.15">
      <c r="A79" s="70" t="str">
        <f>'SA Oct 2023'!K48</f>
        <v>CovaU</v>
      </c>
      <c r="B79" s="49" t="str">
        <f>'SA Oct 2023'!L48</f>
        <v>Freedom</v>
      </c>
      <c r="C79" s="46">
        <f>IF('SA Oct 2023'!BP48=0,91*'SA Oct 2023'!M48/100,(91*'SA Oct 2023'!M48/100)+'SA Oct 2023'!BP48/4)</f>
        <v>102.69763636363636</v>
      </c>
      <c r="D79" s="46">
        <f>IF('SA Oct 2023'!O48="",$C$64*$C$65*'SA Oct 2023'!N48/100,IF($C$64*$C$65&gt;='SA Oct 2023'!P48,('SA Oct 2023'!P48*'SA Oct 2023'!N48/100),($C$64*$C$65*'SA Oct 2023'!N48/100)))</f>
        <v>1558.9090909090905</v>
      </c>
      <c r="E79" s="46">
        <f>IF(AND('SA Oct 2023'!P48&gt;0,'SA Oct 2023'!R48&gt;0),IF($C$64*$C$65&lt;'SA Oct 2023'!P48,0,IF($C$64*$C$65&lt;=('SA Oct 2023'!R48+'SA Oct 2023'!P48),(($C$64*$C$65-'SA Oct 2023'!P48)*'SA Oct 2023'!Q48/100),(('SA Oct 2023'!R48)*'SA Oct 2023'!Q48/100))),0)</f>
        <v>0</v>
      </c>
      <c r="F79" s="50">
        <f>IF(AND('SA Oct 2023'!R48&gt;0,'SA Oct 2023'!T48&gt;0),IF(($C$64*$C$65&lt;'SA Oct 2023'!T48),(0),($C$64*$C$65-'SA Oct 2023'!T48)*'SA Oct 2023'!U48/100),IF(AND('SA Oct 2023'!R48&gt;0,'SA Oct 2023'!T48=""),IF(($C$64*$C$65&lt;'SA Oct 2023'!R48+'SA Oct 2023'!P48),(0),(($C$64*$C$65-('SA Oct 2023'!R48+'SA Oct 2023'!P48))*'SA Oct 2023'!S48/100)),IF(AND('SA Oct 2023'!P48&gt;0,'SA Oct 2023'!R48=""&gt;0),IF(($C$64*$C$65&lt;'SA Oct 2023'!P48),(0),($C$64*$C$65-'SA Oct 2023'!P48)*'SA Oct 2023'!Q48/100),0)))</f>
        <v>0</v>
      </c>
      <c r="G79" s="328">
        <v>0</v>
      </c>
      <c r="H79" s="51">
        <f>($C$64*$C$66)*'SA Oct 2023'!W48/100</f>
        <v>707.81818181818176</v>
      </c>
      <c r="I79" s="52">
        <f t="shared" si="38"/>
        <v>2369.4249090909088</v>
      </c>
      <c r="J79" s="109">
        <f t="shared" si="39"/>
        <v>9066.9090909090901</v>
      </c>
      <c r="K79" s="109">
        <f t="shared" si="40"/>
        <v>9477.6996363636354</v>
      </c>
      <c r="L79" s="53">
        <f t="shared" si="41"/>
        <v>10425.4696</v>
      </c>
      <c r="M79" s="54">
        <f>'SA Oct 2023'!BB48</f>
        <v>0</v>
      </c>
      <c r="N79" s="54">
        <f>'SA Oct 2023'!BC48</f>
        <v>0</v>
      </c>
      <c r="O79" s="54">
        <f>'SA Oct 2023'!BD48</f>
        <v>0</v>
      </c>
      <c r="P79" s="54">
        <f>'SA Oct 2023'!BE48</f>
        <v>0</v>
      </c>
      <c r="Q79" s="110" t="str">
        <f t="shared" si="47"/>
        <v>No discount</v>
      </c>
      <c r="R79" s="73" t="str">
        <f t="shared" si="43"/>
        <v>Exclusive</v>
      </c>
      <c r="S79" s="111">
        <f t="shared" si="44"/>
        <v>9477.6996363636354</v>
      </c>
      <c r="T79" s="112">
        <f t="shared" si="45"/>
        <v>9477.6996363636354</v>
      </c>
      <c r="U79" s="97">
        <f t="shared" si="48"/>
        <v>10425.4696</v>
      </c>
      <c r="V79" s="381">
        <f t="shared" si="48"/>
        <v>10425.4696</v>
      </c>
      <c r="W79" s="383"/>
      <c r="X79" s="383"/>
      <c r="Y79" s="383"/>
      <c r="Z79" s="383"/>
      <c r="AA79" s="383"/>
      <c r="AB79" s="383"/>
      <c r="AC79" s="383"/>
      <c r="AD79" s="383"/>
      <c r="AE79" s="383"/>
      <c r="AF79" s="383"/>
      <c r="AG79" s="383"/>
      <c r="AH79" s="383"/>
      <c r="AI79" s="383"/>
      <c r="AJ79" s="383"/>
      <c r="AK79" s="383"/>
      <c r="AL79" s="383"/>
      <c r="AM79" s="383"/>
      <c r="AN79" s="383"/>
      <c r="AO79" s="383"/>
      <c r="AP79" s="383"/>
    </row>
    <row r="80" spans="1:42" ht="14" x14ac:dyDescent="0.15">
      <c r="A80" s="70" t="str">
        <f>'SA Oct 2023'!K49</f>
        <v>Sumo Power</v>
      </c>
      <c r="B80" s="49" t="str">
        <f>'SA Oct 2023'!L49</f>
        <v>Lite</v>
      </c>
      <c r="C80" s="46">
        <f>IF('SA Oct 2023'!BP49=0,91*'SA Oct 2023'!M49/100,(91*'SA Oct 2023'!M49/100)+'SA Oct 2023'!BP49/4)</f>
        <v>136.5</v>
      </c>
      <c r="D80" s="46">
        <f>IF('SA Oct 2023'!O49="",$C$64*$C$65*'SA Oct 2023'!N49/100,IF($C$64*$C$65&gt;='SA Oct 2023'!P49,('SA Oct 2023'!P49*'SA Oct 2023'!N49/100),($C$64*$C$65*'SA Oct 2023'!N49/100)))</f>
        <v>1799.9999999999998</v>
      </c>
      <c r="E80" s="46">
        <f>IF(AND('SA Oct 2023'!P49&gt;0,'SA Oct 2023'!R49&gt;0),IF($C$64*$C$65&lt;'SA Oct 2023'!P49,0,IF($C$64*$C$65&lt;=('SA Oct 2023'!R49+'SA Oct 2023'!P49),(($C$64*$C$65-'SA Oct 2023'!P49)*'SA Oct 2023'!Q49/100),(('SA Oct 2023'!R49)*'SA Oct 2023'!Q49/100))),0)</f>
        <v>0</v>
      </c>
      <c r="F80" s="50">
        <f>IF(AND('SA Oct 2023'!R49&gt;0,'SA Oct 2023'!T49&gt;0),IF(($C$64*$C$65&lt;'SA Oct 2023'!T49),(0),($C$64*$C$65-'SA Oct 2023'!T49)*'SA Oct 2023'!U49/100),IF(AND('SA Oct 2023'!R49&gt;0,'SA Oct 2023'!T49=""),IF(($C$64*$C$65&lt;'SA Oct 2023'!R49+'SA Oct 2023'!P49),(0),(($C$64*$C$65-('SA Oct 2023'!R49+'SA Oct 2023'!P49))*'SA Oct 2023'!S49/100)),IF(AND('SA Oct 2023'!P49&gt;0,'SA Oct 2023'!R49=""&gt;0),IF(($C$64*$C$65&lt;'SA Oct 2023'!P49),(0),($C$64*$C$65-'SA Oct 2023'!P49)*'SA Oct 2023'!Q49/100),0)))</f>
        <v>0</v>
      </c>
      <c r="G80" s="328">
        <v>0</v>
      </c>
      <c r="H80" s="51">
        <f>($C$64*$C$66)*'SA Oct 2023'!W49/100</f>
        <v>999.99999999999989</v>
      </c>
      <c r="I80" s="52">
        <f t="shared" si="38"/>
        <v>2936.4999999999995</v>
      </c>
      <c r="J80" s="109">
        <f t="shared" si="39"/>
        <v>11199.999999999998</v>
      </c>
      <c r="K80" s="109">
        <f t="shared" si="40"/>
        <v>11745.999999999998</v>
      </c>
      <c r="L80" s="53">
        <f t="shared" si="41"/>
        <v>12920.599999999999</v>
      </c>
      <c r="M80" s="54">
        <f>'SA Oct 2023'!BB49</f>
        <v>0</v>
      </c>
      <c r="N80" s="54">
        <f>'SA Oct 2023'!BC49</f>
        <v>0</v>
      </c>
      <c r="O80" s="54">
        <f>'SA Oct 2023'!BD49</f>
        <v>0</v>
      </c>
      <c r="P80" s="54">
        <f>'SA Oct 2023'!BE49</f>
        <v>0</v>
      </c>
      <c r="Q80" s="110" t="str">
        <f t="shared" si="47"/>
        <v>No discount</v>
      </c>
      <c r="R80" s="73" t="str">
        <f t="shared" si="43"/>
        <v>Exclusive</v>
      </c>
      <c r="S80" s="111">
        <f t="shared" si="44"/>
        <v>11745.999999999998</v>
      </c>
      <c r="T80" s="112">
        <f t="shared" si="45"/>
        <v>11745.999999999998</v>
      </c>
      <c r="U80" s="97">
        <f t="shared" si="48"/>
        <v>12920.599999999999</v>
      </c>
      <c r="V80" s="381">
        <f t="shared" si="48"/>
        <v>12920.599999999999</v>
      </c>
      <c r="W80" s="383"/>
      <c r="X80" s="383"/>
      <c r="Y80" s="383"/>
      <c r="Z80" s="383"/>
      <c r="AA80" s="383"/>
      <c r="AB80" s="383"/>
      <c r="AC80" s="383"/>
      <c r="AD80" s="383"/>
      <c r="AE80" s="383"/>
      <c r="AF80" s="383"/>
      <c r="AG80" s="383"/>
      <c r="AH80" s="383"/>
      <c r="AI80" s="383"/>
      <c r="AJ80" s="383"/>
      <c r="AK80" s="383"/>
      <c r="AL80" s="383"/>
      <c r="AM80" s="383"/>
      <c r="AN80" s="383"/>
      <c r="AO80" s="383"/>
      <c r="AP80" s="383"/>
    </row>
    <row r="81" spans="1:42" ht="14" x14ac:dyDescent="0.15">
      <c r="A81" s="70" t="str">
        <f>'SA Oct 2023'!K50</f>
        <v>Momentum Energy</v>
      </c>
      <c r="B81" s="49" t="str">
        <f>'SA Oct 2023'!L50</f>
        <v>Thrifty Business</v>
      </c>
      <c r="C81" s="46">
        <f>IF('SA Oct 2023'!BP50=0,91*'SA Oct 2023'!M50/100,(91*'SA Oct 2023'!M50/100)+'SA Oct 2023'!BP50/4)</f>
        <v>205.56899999999999</v>
      </c>
      <c r="D81" s="46">
        <f>IF('SA Oct 2023'!O50="",$C$64*$C$65*'SA Oct 2023'!N50/100,IF($C$64*$C$65&gt;='SA Oct 2023'!P50,('SA Oct 2023'!P50*'SA Oct 2023'!N50/100),($C$64*$C$65*'SA Oct 2023'!N50/100)))</f>
        <v>1374</v>
      </c>
      <c r="E81" s="46">
        <f>IF(AND('SA Oct 2023'!P50&gt;0,'SA Oct 2023'!R50&gt;0),IF($C$64*$C$65&lt;'SA Oct 2023'!P50,0,IF($C$64*$C$65&lt;=('SA Oct 2023'!R50+'SA Oct 2023'!P50),(($C$64*$C$65-'SA Oct 2023'!P50)*'SA Oct 2023'!Q50/100),(('SA Oct 2023'!R50)*'SA Oct 2023'!Q50/100))),0)</f>
        <v>0</v>
      </c>
      <c r="F81" s="50">
        <f>IF(AND('SA Oct 2023'!R50&gt;0,'SA Oct 2023'!T50&gt;0),IF(($C$64*$C$65&lt;'SA Oct 2023'!T50),(0),($C$64*$C$65-'SA Oct 2023'!T50)*'SA Oct 2023'!U50/100),IF(AND('SA Oct 2023'!R50&gt;0,'SA Oct 2023'!T50=""),IF(($C$64*$C$65&lt;'SA Oct 2023'!R50+'SA Oct 2023'!P50),(0),(($C$64*$C$65-('SA Oct 2023'!R50+'SA Oct 2023'!P50))*'SA Oct 2023'!S50/100)),IF(AND('SA Oct 2023'!P50&gt;0,'SA Oct 2023'!R50=""&gt;0),IF(($C$64*$C$65&lt;'SA Oct 2023'!P50),(0),($C$64*$C$65-'SA Oct 2023'!P50)*'SA Oct 2023'!Q50/100),0)))</f>
        <v>0</v>
      </c>
      <c r="G81" s="328">
        <v>0</v>
      </c>
      <c r="H81" s="51">
        <f>($C$64*$C$66)*'SA Oct 2023'!W50/100</f>
        <v>726</v>
      </c>
      <c r="I81" s="52">
        <f t="shared" si="38"/>
        <v>2305.569</v>
      </c>
      <c r="J81" s="109">
        <f t="shared" si="39"/>
        <v>8400</v>
      </c>
      <c r="K81" s="109">
        <f t="shared" si="40"/>
        <v>9222.2759999999998</v>
      </c>
      <c r="L81" s="53">
        <f t="shared" si="41"/>
        <v>10144.5036</v>
      </c>
      <c r="M81" s="54">
        <f>'SA Oct 2023'!BB50</f>
        <v>0</v>
      </c>
      <c r="N81" s="54">
        <f>'SA Oct 2023'!BC50</f>
        <v>0</v>
      </c>
      <c r="O81" s="54">
        <f>'SA Oct 2023'!BD50</f>
        <v>0</v>
      </c>
      <c r="P81" s="54">
        <f>'SA Oct 2023'!BE50</f>
        <v>0</v>
      </c>
      <c r="Q81" s="110" t="str">
        <f t="shared" ref="Q81:Q82" si="49">IF(SUM(M81:P81)=0,"No discount",IF(M81&gt;0,"Guaranteed off bill",IF(N81&gt;0,"Guaranteed off usage",IF(O81&gt;0,"Pay-on-time off bill","Pay-on-time off usage"))))</f>
        <v>No discount</v>
      </c>
      <c r="R81" s="73" t="str">
        <f t="shared" si="43"/>
        <v>Exclusive</v>
      </c>
      <c r="S81" s="111">
        <f t="shared" si="44"/>
        <v>9222.2759999999998</v>
      </c>
      <c r="T81" s="112">
        <f t="shared" si="45"/>
        <v>9222.2759999999998</v>
      </c>
      <c r="U81" s="97">
        <f t="shared" si="48"/>
        <v>10144.5036</v>
      </c>
      <c r="V81" s="381">
        <f t="shared" si="48"/>
        <v>10144.5036</v>
      </c>
      <c r="W81" s="383"/>
      <c r="X81" s="383"/>
      <c r="Y81" s="383"/>
      <c r="Z81" s="383"/>
      <c r="AA81" s="383"/>
      <c r="AB81" s="383"/>
      <c r="AC81" s="383"/>
      <c r="AD81" s="383"/>
      <c r="AE81" s="383"/>
      <c r="AF81" s="383"/>
      <c r="AG81" s="383"/>
      <c r="AH81" s="383"/>
      <c r="AI81" s="383"/>
      <c r="AJ81" s="383"/>
      <c r="AK81" s="383"/>
      <c r="AL81" s="383"/>
      <c r="AM81" s="383"/>
      <c r="AN81" s="383"/>
      <c r="AO81" s="383"/>
      <c r="AP81" s="383"/>
    </row>
    <row r="82" spans="1:42" ht="14" x14ac:dyDescent="0.15">
      <c r="A82" s="70" t="str">
        <f>'SA Oct 2023'!K51</f>
        <v>Next Business Energy</v>
      </c>
      <c r="B82" s="49" t="str">
        <f>'SA Oct 2023'!L51</f>
        <v xml:space="preserve">Assured </v>
      </c>
      <c r="C82" s="46">
        <f>IF('SA Oct 2023'!BP51=0,91*'SA Oct 2023'!M51/100,(91*'SA Oct 2023'!M51/100)+'SA Oct 2023'!BP51/4)</f>
        <v>87.566818181818178</v>
      </c>
      <c r="D82" s="46">
        <f>IF('SA Oct 2023'!O51="",$C$64*$C$65*'SA Oct 2023'!N51/100,IF($C$64*$C$65&gt;='SA Oct 2023'!P51,('SA Oct 2023'!P51*'SA Oct 2023'!N51/100),($C$64*$C$65*'SA Oct 2023'!N51/100)))</f>
        <v>1446.272727272727</v>
      </c>
      <c r="E82" s="46">
        <f>IF(AND('SA Oct 2023'!P51&gt;0,'SA Oct 2023'!R51&gt;0),IF($C$64*$C$65&lt;'SA Oct 2023'!P51,0,IF($C$64*$C$65&lt;=('SA Oct 2023'!R51+'SA Oct 2023'!P51),(($C$64*$C$65-'SA Oct 2023'!P51)*'SA Oct 2023'!Q51/100),(('SA Oct 2023'!R51)*'SA Oct 2023'!Q51/100))),0)</f>
        <v>0</v>
      </c>
      <c r="F82" s="50">
        <f>IF(AND('SA Oct 2023'!R51&gt;0,'SA Oct 2023'!T51&gt;0),IF(($C$64*$C$65&lt;'SA Oct 2023'!T51),(0),($C$64*$C$65-'SA Oct 2023'!T51)*'SA Oct 2023'!U51/100),IF(AND('SA Oct 2023'!R51&gt;0,'SA Oct 2023'!T51=""),IF(($C$64*$C$65&lt;'SA Oct 2023'!R51+'SA Oct 2023'!P51),(0),(($C$64*$C$65-('SA Oct 2023'!R51+'SA Oct 2023'!P51))*'SA Oct 2023'!S51/100)),IF(AND('SA Oct 2023'!P51&gt;0,'SA Oct 2023'!R51=""&gt;0),IF(($C$64*$C$65&lt;'SA Oct 2023'!P51),(0),($C$64*$C$65-'SA Oct 2023'!P51)*'SA Oct 2023'!Q51/100),0)))</f>
        <v>0</v>
      </c>
      <c r="G82" s="328">
        <v>0</v>
      </c>
      <c r="H82" s="51">
        <f>($C$64*$C$66)*'SA Oct 2023'!W51/100</f>
        <v>734.72727272727252</v>
      </c>
      <c r="I82" s="52">
        <f t="shared" si="38"/>
        <v>2268.5668181818178</v>
      </c>
      <c r="J82" s="109">
        <f t="shared" si="39"/>
        <v>8723.9999999999982</v>
      </c>
      <c r="K82" s="109">
        <f t="shared" si="40"/>
        <v>9074.2672727272711</v>
      </c>
      <c r="L82" s="53">
        <f t="shared" si="41"/>
        <v>9981.6939999999995</v>
      </c>
      <c r="M82" s="54">
        <f>'SA Oct 2023'!BB51</f>
        <v>0</v>
      </c>
      <c r="N82" s="54">
        <f>'SA Oct 2023'!BC51</f>
        <v>0</v>
      </c>
      <c r="O82" s="54">
        <f>'SA Oct 2023'!BD51</f>
        <v>0</v>
      </c>
      <c r="P82" s="54">
        <f>'SA Oct 2023'!BE51</f>
        <v>0</v>
      </c>
      <c r="Q82" s="110" t="str">
        <f t="shared" si="49"/>
        <v>No discount</v>
      </c>
      <c r="R82" s="73" t="str">
        <f t="shared" si="43"/>
        <v>Exclusive</v>
      </c>
      <c r="S82" s="111">
        <f t="shared" si="44"/>
        <v>9074.2672727272711</v>
      </c>
      <c r="T82" s="112">
        <f t="shared" si="45"/>
        <v>9074.2672727272711</v>
      </c>
      <c r="U82" s="97">
        <f t="shared" si="48"/>
        <v>9981.6939999999995</v>
      </c>
      <c r="V82" s="381">
        <f t="shared" si="48"/>
        <v>9981.6939999999995</v>
      </c>
      <c r="W82" s="383"/>
      <c r="X82" s="383"/>
      <c r="Y82" s="383"/>
      <c r="Z82" s="383"/>
      <c r="AA82" s="383"/>
      <c r="AB82" s="383"/>
      <c r="AC82" s="383"/>
      <c r="AD82" s="383"/>
      <c r="AE82" s="383"/>
      <c r="AF82" s="383"/>
      <c r="AG82" s="383"/>
      <c r="AH82" s="383"/>
      <c r="AI82" s="383"/>
      <c r="AJ82" s="383"/>
      <c r="AK82" s="383"/>
      <c r="AL82" s="383"/>
      <c r="AM82" s="383"/>
      <c r="AN82" s="383"/>
      <c r="AO82" s="383"/>
      <c r="AP82" s="383"/>
    </row>
    <row r="83" spans="1:42" ht="14" x14ac:dyDescent="0.15">
      <c r="A83" s="70" t="str">
        <f>'SA Oct 2023'!K52</f>
        <v>Blue Energy</v>
      </c>
      <c r="B83" s="49" t="str">
        <f>'SA Oct 2023'!L52</f>
        <v>Mini Freeze</v>
      </c>
      <c r="C83" s="46">
        <f>IF('SA Oct 2023'!BP52=0,91*'SA Oct 2023'!M52/100,(91*'SA Oct 2023'!M52/100)+'SA Oct 2023'!BP52/4)</f>
        <v>154.26154545454546</v>
      </c>
      <c r="D83" s="46">
        <f>IF('SA Oct 2023'!O52="",$C$64*$C$65*'SA Oct 2023'!N52/100,IF($C$64*$C$65&gt;='SA Oct 2023'!P52,('SA Oct 2023'!P52*'SA Oct 2023'!N52/100),($C$64*$C$65*'SA Oct 2023'!N52/100)))</f>
        <v>1295.181818181818</v>
      </c>
      <c r="E83" s="46">
        <f>IF(AND('SA Oct 2023'!P52&gt;0,'SA Oct 2023'!R52&gt;0),IF($C$64*$C$65&lt;'SA Oct 2023'!P52,0,IF($C$64*$C$65&lt;=('SA Oct 2023'!R52+'SA Oct 2023'!P52),(($C$64*$C$65-'SA Oct 2023'!P52)*'SA Oct 2023'!Q52/100),(('SA Oct 2023'!R52)*'SA Oct 2023'!Q52/100))),0)</f>
        <v>0</v>
      </c>
      <c r="F83" s="50">
        <f>IF(AND('SA Oct 2023'!R52&gt;0,'SA Oct 2023'!T52&gt;0),IF(($C$64*$C$65&lt;'SA Oct 2023'!T52),(0),($C$64*$C$65-'SA Oct 2023'!T52)*'SA Oct 2023'!U52/100),IF(AND('SA Oct 2023'!R52&gt;0,'SA Oct 2023'!T52=""),IF(($C$64*$C$65&lt;'SA Oct 2023'!R52+'SA Oct 2023'!P52),(0),(($C$64*$C$65-('SA Oct 2023'!R52+'SA Oct 2023'!P52))*'SA Oct 2023'!S52/100)),IF(AND('SA Oct 2023'!P52&gt;0,'SA Oct 2023'!R52=""&gt;0),IF(($C$64*$C$65&lt;'SA Oct 2023'!P52),(0),($C$64*$C$65-'SA Oct 2023'!P52)*'SA Oct 2023'!Q52/100),0)))</f>
        <v>0</v>
      </c>
      <c r="G83" s="328">
        <v>0</v>
      </c>
      <c r="H83" s="51">
        <f>($C$64*$C$66)*'SA Oct 2023'!W52/100</f>
        <v>516.36363636363637</v>
      </c>
      <c r="I83" s="52">
        <f t="shared" ref="I83" si="50">SUM(C83:H83)</f>
        <v>1965.8069999999998</v>
      </c>
      <c r="J83" s="109">
        <f t="shared" ref="J83" si="51">(I83-C83)*4</f>
        <v>7246.1818181818171</v>
      </c>
      <c r="K83" s="109">
        <f t="shared" ref="K83" si="52">I83*4</f>
        <v>7863.2279999999992</v>
      </c>
      <c r="L83" s="53">
        <f t="shared" ref="L83" si="53">K83*1.1</f>
        <v>8649.5507999999991</v>
      </c>
      <c r="M83" s="54">
        <f>'SA Oct 2023'!BB52</f>
        <v>0</v>
      </c>
      <c r="N83" s="54">
        <f>'SA Oct 2023'!BC52</f>
        <v>0</v>
      </c>
      <c r="O83" s="54">
        <f>'SA Oct 2023'!BD52</f>
        <v>0</v>
      </c>
      <c r="P83" s="54">
        <f>'SA Oct 2023'!BE52</f>
        <v>0</v>
      </c>
      <c r="Q83" s="110" t="str">
        <f t="shared" ref="Q83" si="54">IF(SUM(M83:P83)=0,"No discount",IF(M83&gt;0,"Guaranteed off bill",IF(N83&gt;0,"Guaranteed off usage",IF(O83&gt;0,"Pay-on-time off bill","Pay-on-time off usage"))))</f>
        <v>No discount</v>
      </c>
      <c r="R83" s="73" t="str">
        <f t="shared" ref="R83" si="55">IF(OR(A83="Origin Energy",A83="Red Energy",A83="Powershop"),"Inclusive","Exclusive")</f>
        <v>Exclusive</v>
      </c>
      <c r="S83" s="111">
        <f t="shared" ref="S83" si="56">IF(AND(Q83="Guaranteed off bill",R83="Inclusive"),((K83*1.1)-((K83*1.1)*M83/100))/1.1,IF(AND(Q83="Guaranteed off usage",R83="Inclusive"),((K83*1.1)-((J83*1.1)*N83/100))/1.1,IF(AND(Q83="Guaranteed off bill",R83="Exclusive"),K83-(K83*M83/100),IF(AND(Q83="Guaranteed off usage",R83="Exclusive"),K83-(J83*N83/100),IF(R83="Inclusive",((K83*1.1))/1.1,K83)))))</f>
        <v>7863.2279999999992</v>
      </c>
      <c r="T83" s="112">
        <f t="shared" ref="T83" si="57">IF(AND(Q83="Pay-on-time off bill",R83="Inclusive"),((S83*1.1)-((S83*1.1)*O83/100))/1.1,IF(AND(Q83="Pay-on-time off usage",R83="Inclusive"),((S83*1.1)-((J83*1.1)*P83/100))/1.1,IF(AND(Q83="Pay-on-time off bill",R83="Exclusive"),S83-(S83*O83/100),IF(AND(Q83="Pay-on-time off usage",R83="Exclusive"),S83-(J83*P83/100),IF(R83="Inclusive",((S83*1.1))/1.1,S83)))))</f>
        <v>7863.2279999999992</v>
      </c>
      <c r="U83" s="97">
        <f t="shared" ref="U83" si="58">S83*1.1</f>
        <v>8649.5507999999991</v>
      </c>
      <c r="V83" s="381">
        <f t="shared" ref="V83" si="59">T83*1.1</f>
        <v>8649.5507999999991</v>
      </c>
      <c r="W83" s="383"/>
      <c r="X83" s="383"/>
      <c r="Y83" s="383"/>
      <c r="Z83" s="383"/>
      <c r="AA83" s="383"/>
      <c r="AB83" s="383"/>
      <c r="AC83" s="383"/>
      <c r="AD83" s="383"/>
      <c r="AE83" s="383"/>
      <c r="AF83" s="383"/>
      <c r="AG83" s="383"/>
      <c r="AH83" s="383"/>
      <c r="AI83" s="383"/>
      <c r="AJ83" s="383"/>
      <c r="AK83" s="383"/>
      <c r="AL83" s="383"/>
      <c r="AM83" s="383"/>
      <c r="AN83" s="383"/>
      <c r="AO83" s="383"/>
      <c r="AP83" s="383"/>
    </row>
    <row r="84" spans="1:42" ht="14" x14ac:dyDescent="0.15">
      <c r="A84" s="383"/>
      <c r="B84" s="383"/>
      <c r="C84" s="383"/>
      <c r="D84" s="383"/>
      <c r="E84" s="383"/>
      <c r="F84" s="383"/>
      <c r="G84" s="386"/>
      <c r="H84" s="386"/>
      <c r="I84" s="387"/>
      <c r="J84" s="387"/>
      <c r="K84" s="383"/>
      <c r="L84" s="383"/>
      <c r="M84" s="383"/>
      <c r="N84" s="383"/>
      <c r="O84" s="383"/>
      <c r="P84" s="383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3"/>
      <c r="AD84" s="383"/>
      <c r="AE84" s="383"/>
      <c r="AF84" s="383"/>
      <c r="AG84" s="383"/>
      <c r="AH84" s="383"/>
      <c r="AI84" s="383"/>
      <c r="AJ84" s="383"/>
      <c r="AK84" s="383"/>
      <c r="AL84" s="383"/>
      <c r="AM84" s="383"/>
      <c r="AN84" s="383"/>
      <c r="AO84" s="383"/>
      <c r="AP84" s="383"/>
    </row>
    <row r="85" spans="1:42" ht="14" x14ac:dyDescent="0.15">
      <c r="A85" s="383"/>
      <c r="B85" s="383"/>
      <c r="C85" s="383"/>
      <c r="D85" s="386"/>
      <c r="E85" s="386"/>
      <c r="F85" s="386"/>
      <c r="G85" s="386"/>
      <c r="H85" s="386"/>
      <c r="I85" s="387"/>
      <c r="J85" s="387"/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  <c r="AA85" s="383"/>
      <c r="AB85" s="383"/>
      <c r="AC85" s="383"/>
      <c r="AD85" s="383"/>
      <c r="AE85" s="383"/>
      <c r="AF85" s="383"/>
      <c r="AG85" s="383"/>
      <c r="AH85" s="383"/>
      <c r="AI85" s="383"/>
      <c r="AJ85" s="383"/>
      <c r="AK85" s="383"/>
      <c r="AL85" s="383"/>
      <c r="AM85" s="383"/>
      <c r="AN85" s="383"/>
      <c r="AO85" s="383"/>
      <c r="AP85" s="383"/>
    </row>
    <row r="86" spans="1:42" ht="14" x14ac:dyDescent="0.15">
      <c r="A86" s="383"/>
      <c r="B86" s="383"/>
      <c r="C86" s="383"/>
      <c r="D86" s="383"/>
      <c r="E86" s="383"/>
      <c r="F86" s="383"/>
      <c r="G86" s="386"/>
      <c r="H86" s="386"/>
      <c r="I86" s="387"/>
      <c r="J86" s="387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383"/>
      <c r="Y86" s="383"/>
      <c r="Z86" s="383"/>
      <c r="AA86" s="383"/>
      <c r="AB86" s="383"/>
      <c r="AC86" s="383"/>
      <c r="AD86" s="383"/>
      <c r="AE86" s="383"/>
      <c r="AF86" s="383"/>
      <c r="AG86" s="383"/>
      <c r="AH86" s="383"/>
      <c r="AI86" s="383"/>
      <c r="AJ86" s="383"/>
      <c r="AK86" s="383"/>
      <c r="AL86" s="383"/>
      <c r="AM86" s="383"/>
      <c r="AN86" s="383"/>
      <c r="AO86" s="383"/>
      <c r="AP86" s="383"/>
    </row>
    <row r="87" spans="1:42" ht="14" x14ac:dyDescent="0.15">
      <c r="A87" s="383"/>
      <c r="B87" s="383"/>
      <c r="C87" s="383"/>
      <c r="D87" s="386"/>
      <c r="E87" s="386"/>
      <c r="F87" s="386"/>
      <c r="G87" s="386"/>
      <c r="H87" s="386"/>
      <c r="I87" s="387"/>
      <c r="J87" s="387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383"/>
      <c r="Y87" s="383"/>
      <c r="Z87" s="383"/>
      <c r="AA87" s="383"/>
      <c r="AB87" s="383"/>
      <c r="AC87" s="383"/>
      <c r="AD87" s="383"/>
      <c r="AE87" s="383"/>
      <c r="AF87" s="383"/>
      <c r="AG87" s="383"/>
      <c r="AH87" s="383"/>
      <c r="AI87" s="383"/>
      <c r="AJ87" s="383"/>
      <c r="AK87" s="383"/>
      <c r="AL87" s="383"/>
      <c r="AM87" s="383"/>
      <c r="AN87" s="383"/>
      <c r="AO87" s="383"/>
      <c r="AP87" s="383"/>
    </row>
    <row r="88" spans="1:42" ht="14" x14ac:dyDescent="0.15">
      <c r="A88" s="383"/>
      <c r="B88" s="383"/>
      <c r="C88" s="383"/>
      <c r="D88" s="383"/>
      <c r="E88" s="383"/>
      <c r="F88" s="383"/>
      <c r="G88" s="386"/>
      <c r="H88" s="386"/>
      <c r="I88" s="387"/>
      <c r="J88" s="387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3"/>
      <c r="W88" s="383"/>
      <c r="X88" s="383"/>
      <c r="Y88" s="383"/>
      <c r="Z88" s="383"/>
      <c r="AA88" s="383"/>
      <c r="AB88" s="383"/>
      <c r="AC88" s="383"/>
      <c r="AD88" s="383"/>
      <c r="AE88" s="383"/>
      <c r="AF88" s="383"/>
      <c r="AG88" s="383"/>
      <c r="AH88" s="383"/>
      <c r="AI88" s="383"/>
      <c r="AJ88" s="383"/>
      <c r="AK88" s="383"/>
      <c r="AL88" s="383"/>
      <c r="AM88" s="383"/>
      <c r="AN88" s="383"/>
      <c r="AO88" s="383"/>
      <c r="AP88" s="383"/>
    </row>
    <row r="89" spans="1:42" ht="14" x14ac:dyDescent="0.15">
      <c r="A89" s="383"/>
      <c r="B89" s="383"/>
      <c r="C89" s="383"/>
      <c r="D89" s="386"/>
      <c r="E89" s="386"/>
      <c r="F89" s="386"/>
      <c r="G89" s="386"/>
      <c r="H89" s="386"/>
      <c r="I89" s="387"/>
      <c r="J89" s="387"/>
      <c r="K89" s="383"/>
      <c r="L89" s="383"/>
      <c r="M89" s="383"/>
      <c r="N89" s="383"/>
      <c r="O89" s="383"/>
      <c r="P89" s="383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3"/>
      <c r="AD89" s="383"/>
      <c r="AE89" s="383"/>
      <c r="AF89" s="383"/>
      <c r="AG89" s="383"/>
      <c r="AH89" s="383"/>
      <c r="AI89" s="383"/>
      <c r="AJ89" s="383"/>
      <c r="AK89" s="383"/>
      <c r="AL89" s="383"/>
      <c r="AM89" s="383"/>
      <c r="AN89" s="383"/>
      <c r="AO89" s="383"/>
      <c r="AP89" s="383"/>
    </row>
    <row r="90" spans="1:42" ht="14" x14ac:dyDescent="0.15">
      <c r="A90" s="383"/>
      <c r="B90" s="383"/>
      <c r="C90" s="383"/>
      <c r="D90" s="383"/>
      <c r="E90" s="383"/>
      <c r="F90" s="383"/>
      <c r="G90" s="386"/>
      <c r="H90" s="386"/>
      <c r="I90" s="387"/>
      <c r="J90" s="387"/>
      <c r="K90" s="383"/>
      <c r="L90" s="383"/>
      <c r="M90" s="383"/>
      <c r="N90" s="383"/>
      <c r="O90" s="383"/>
      <c r="P90" s="383"/>
      <c r="Q90" s="383"/>
      <c r="R90" s="383"/>
      <c r="S90" s="383"/>
      <c r="T90" s="383"/>
      <c r="U90" s="383"/>
      <c r="V90" s="383"/>
      <c r="W90" s="383"/>
      <c r="X90" s="383"/>
      <c r="Y90" s="383"/>
      <c r="Z90" s="383"/>
      <c r="AA90" s="383"/>
      <c r="AB90" s="383"/>
      <c r="AC90" s="383"/>
      <c r="AD90" s="383"/>
      <c r="AE90" s="383"/>
      <c r="AF90" s="383"/>
      <c r="AG90" s="383"/>
      <c r="AH90" s="383"/>
      <c r="AI90" s="383"/>
      <c r="AJ90" s="383"/>
      <c r="AK90" s="383"/>
      <c r="AL90" s="383"/>
      <c r="AM90" s="383"/>
      <c r="AN90" s="383"/>
      <c r="AO90" s="383"/>
      <c r="AP90" s="383"/>
    </row>
    <row r="91" spans="1:42" ht="14" x14ac:dyDescent="0.15">
      <c r="A91" s="383"/>
      <c r="B91" s="383"/>
      <c r="C91" s="383"/>
      <c r="D91" s="386"/>
      <c r="E91" s="386"/>
      <c r="F91" s="386"/>
      <c r="G91" s="386"/>
      <c r="H91" s="386"/>
      <c r="I91" s="387"/>
      <c r="J91" s="387"/>
      <c r="K91" s="383"/>
      <c r="L91" s="383"/>
      <c r="M91" s="383"/>
      <c r="N91" s="383"/>
      <c r="O91" s="383"/>
      <c r="P91" s="383"/>
      <c r="Q91" s="383"/>
      <c r="R91" s="383"/>
      <c r="S91" s="383"/>
      <c r="T91" s="383"/>
      <c r="U91" s="383"/>
      <c r="V91" s="383"/>
      <c r="W91" s="383"/>
      <c r="X91" s="383"/>
      <c r="Y91" s="383"/>
      <c r="Z91" s="383"/>
      <c r="AA91" s="383"/>
      <c r="AB91" s="383"/>
      <c r="AC91" s="383"/>
      <c r="AD91" s="383"/>
      <c r="AE91" s="383"/>
      <c r="AF91" s="383"/>
      <c r="AG91" s="383"/>
      <c r="AH91" s="383"/>
      <c r="AI91" s="383"/>
      <c r="AJ91" s="383"/>
      <c r="AK91" s="383"/>
      <c r="AL91" s="383"/>
      <c r="AM91" s="383"/>
      <c r="AN91" s="383"/>
      <c r="AO91" s="383"/>
      <c r="AP91" s="383"/>
    </row>
    <row r="92" spans="1:42" ht="14" x14ac:dyDescent="0.15">
      <c r="A92" s="383"/>
      <c r="B92" s="383"/>
      <c r="C92" s="383"/>
      <c r="D92" s="383"/>
      <c r="E92" s="383"/>
      <c r="F92" s="383"/>
      <c r="G92" s="386"/>
      <c r="H92" s="386"/>
      <c r="I92" s="387"/>
      <c r="J92" s="387"/>
      <c r="K92" s="383"/>
      <c r="L92" s="383"/>
      <c r="M92" s="383"/>
      <c r="N92" s="383"/>
      <c r="O92" s="383"/>
      <c r="P92" s="383"/>
      <c r="Q92" s="383"/>
      <c r="R92" s="383"/>
      <c r="S92" s="383"/>
      <c r="T92" s="383"/>
      <c r="U92" s="383"/>
      <c r="V92" s="383"/>
      <c r="W92" s="383"/>
      <c r="X92" s="383"/>
      <c r="Y92" s="383"/>
      <c r="Z92" s="383"/>
      <c r="AA92" s="383"/>
      <c r="AB92" s="383"/>
      <c r="AC92" s="383"/>
      <c r="AD92" s="383"/>
      <c r="AE92" s="383"/>
      <c r="AF92" s="383"/>
      <c r="AG92" s="383"/>
      <c r="AH92" s="383"/>
      <c r="AI92" s="383"/>
      <c r="AJ92" s="383"/>
      <c r="AK92" s="383"/>
      <c r="AL92" s="383"/>
      <c r="AM92" s="383"/>
      <c r="AN92" s="383"/>
      <c r="AO92" s="383"/>
      <c r="AP92" s="383"/>
    </row>
    <row r="93" spans="1:42" ht="14" x14ac:dyDescent="0.15">
      <c r="A93" s="383"/>
      <c r="B93" s="383"/>
      <c r="C93" s="383"/>
      <c r="D93" s="386"/>
      <c r="E93" s="386"/>
      <c r="F93" s="386"/>
      <c r="G93" s="386"/>
      <c r="H93" s="386"/>
      <c r="I93" s="387"/>
      <c r="J93" s="387"/>
      <c r="K93" s="383"/>
      <c r="L93" s="383"/>
      <c r="M93" s="383"/>
      <c r="N93" s="383"/>
      <c r="O93" s="383"/>
      <c r="P93" s="383"/>
      <c r="Q93" s="383"/>
      <c r="R93" s="383"/>
      <c r="S93" s="383"/>
      <c r="T93" s="383"/>
      <c r="U93" s="383"/>
      <c r="V93" s="383"/>
      <c r="W93" s="383"/>
      <c r="X93" s="383"/>
      <c r="Y93" s="383"/>
      <c r="Z93" s="383"/>
      <c r="AA93" s="383"/>
      <c r="AB93" s="383"/>
      <c r="AC93" s="383"/>
      <c r="AD93" s="383"/>
      <c r="AE93" s="383"/>
      <c r="AF93" s="383"/>
      <c r="AG93" s="383"/>
      <c r="AH93" s="383"/>
      <c r="AI93" s="383"/>
      <c r="AJ93" s="383"/>
      <c r="AK93" s="383"/>
      <c r="AL93" s="383"/>
      <c r="AM93" s="383"/>
      <c r="AN93" s="383"/>
      <c r="AO93" s="383"/>
      <c r="AP93" s="383"/>
    </row>
    <row r="94" spans="1:42" ht="14" x14ac:dyDescent="0.15">
      <c r="A94" s="383"/>
      <c r="B94" s="383"/>
      <c r="C94" s="383"/>
      <c r="D94" s="383"/>
      <c r="E94" s="383"/>
      <c r="F94" s="383"/>
      <c r="G94" s="386"/>
      <c r="H94" s="386"/>
      <c r="I94" s="387"/>
      <c r="J94" s="387"/>
      <c r="K94" s="383"/>
      <c r="L94" s="383"/>
      <c r="M94" s="383"/>
      <c r="N94" s="383"/>
      <c r="O94" s="383"/>
      <c r="P94" s="383"/>
      <c r="Q94" s="383"/>
      <c r="R94" s="383"/>
      <c r="S94" s="383"/>
      <c r="T94" s="383"/>
      <c r="U94" s="383"/>
      <c r="V94" s="383"/>
      <c r="W94" s="383"/>
      <c r="X94" s="383"/>
      <c r="Y94" s="383"/>
      <c r="Z94" s="383"/>
      <c r="AA94" s="383"/>
      <c r="AB94" s="383"/>
      <c r="AC94" s="383"/>
      <c r="AD94" s="383"/>
      <c r="AE94" s="383"/>
      <c r="AF94" s="383"/>
      <c r="AG94" s="383"/>
      <c r="AH94" s="383"/>
      <c r="AI94" s="383"/>
      <c r="AJ94" s="383"/>
      <c r="AK94" s="383"/>
      <c r="AL94" s="383"/>
      <c r="AM94" s="383"/>
      <c r="AN94" s="383"/>
      <c r="AO94" s="383"/>
      <c r="AP94" s="383"/>
    </row>
    <row r="95" spans="1:42" ht="14" x14ac:dyDescent="0.15">
      <c r="A95" s="383"/>
      <c r="B95" s="383"/>
      <c r="C95" s="383"/>
      <c r="D95" s="386"/>
      <c r="E95" s="386"/>
      <c r="F95" s="386"/>
      <c r="G95" s="386"/>
      <c r="H95" s="386"/>
      <c r="I95" s="387"/>
      <c r="J95" s="387"/>
      <c r="K95" s="383"/>
      <c r="L95" s="383"/>
      <c r="M95" s="383"/>
      <c r="N95" s="383"/>
      <c r="O95" s="383"/>
      <c r="P95" s="383"/>
      <c r="Q95" s="383"/>
      <c r="R95" s="383"/>
      <c r="S95" s="383"/>
      <c r="T95" s="383"/>
      <c r="U95" s="383"/>
      <c r="V95" s="383"/>
      <c r="W95" s="383"/>
      <c r="X95" s="383"/>
      <c r="Y95" s="383"/>
      <c r="Z95" s="383"/>
      <c r="AA95" s="383"/>
      <c r="AB95" s="383"/>
      <c r="AC95" s="383"/>
      <c r="AD95" s="383"/>
      <c r="AE95" s="383"/>
      <c r="AF95" s="383"/>
      <c r="AG95" s="383"/>
      <c r="AH95" s="383"/>
      <c r="AI95" s="383"/>
      <c r="AJ95" s="383"/>
      <c r="AK95" s="383"/>
      <c r="AL95" s="383"/>
      <c r="AM95" s="383"/>
      <c r="AN95" s="383"/>
      <c r="AO95" s="383"/>
      <c r="AP95" s="383"/>
    </row>
  </sheetData>
  <sheetProtection algorithmName="SHA-512" hashValue="X+S2mH7iKj6Kbx7Cx5o/rjAYPkUr2P8T76Hgue95lbN++X1yyhiIY/p+/z2d321+uNIypKX6qTbm3jC8jDRlOQ==" saltValue="wDczkrTdIrfiwGs2UOVtTQ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1" max="16383" man="1" pt="1"/>
  </rowBreaks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5E01B-1D7D-294F-977B-C9621E94475A}">
  <sheetPr codeName="Sheet24"/>
  <dimension ref="A1:BY66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K2" sqref="K2:K24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338">
        <v>1915</v>
      </c>
      <c r="B2" s="339">
        <v>43200</v>
      </c>
      <c r="C2" s="340" t="s">
        <v>755</v>
      </c>
      <c r="D2" s="338" t="s">
        <v>454</v>
      </c>
      <c r="E2" s="338"/>
      <c r="F2" s="338" t="s">
        <v>756</v>
      </c>
      <c r="G2" s="339">
        <v>43194</v>
      </c>
      <c r="H2" s="341" t="s">
        <v>757</v>
      </c>
      <c r="I2" s="341" t="s">
        <v>758</v>
      </c>
      <c r="J2" s="341">
        <v>1</v>
      </c>
      <c r="K2" s="338" t="s">
        <v>759</v>
      </c>
      <c r="L2" s="338" t="s">
        <v>760</v>
      </c>
      <c r="M2" s="342">
        <v>93.936363636363623</v>
      </c>
      <c r="N2" s="342">
        <v>31.872727272727271</v>
      </c>
      <c r="O2" s="338"/>
      <c r="P2" s="343"/>
      <c r="Q2" s="344"/>
      <c r="R2" s="343"/>
      <c r="S2" s="344"/>
      <c r="T2" s="343"/>
      <c r="U2" s="338"/>
      <c r="V2" s="344"/>
      <c r="W2" s="344"/>
      <c r="X2" s="338"/>
      <c r="Y2" s="338"/>
      <c r="Z2" s="338"/>
      <c r="AA2" s="338"/>
      <c r="AB2" s="343"/>
      <c r="AC2" s="338"/>
      <c r="AD2" s="338"/>
      <c r="AE2" s="344"/>
      <c r="AF2" s="344"/>
      <c r="AG2" s="343"/>
      <c r="AH2" s="338"/>
      <c r="AI2" s="344"/>
      <c r="AJ2" s="338"/>
      <c r="AK2" s="338"/>
      <c r="AL2" s="338"/>
      <c r="AM2" s="338"/>
      <c r="AN2" s="344"/>
      <c r="AO2" s="345"/>
      <c r="AP2" s="344"/>
      <c r="AQ2" s="346" t="s">
        <v>761</v>
      </c>
      <c r="AR2" s="341" t="s">
        <v>174</v>
      </c>
      <c r="AS2" s="341"/>
      <c r="AT2" s="341"/>
      <c r="AU2" s="341"/>
      <c r="AV2" s="341">
        <v>5</v>
      </c>
      <c r="AW2" s="341"/>
      <c r="AX2" s="341"/>
      <c r="AY2" s="341"/>
      <c r="AZ2" s="341" t="s">
        <v>762</v>
      </c>
      <c r="BA2" s="338"/>
      <c r="BB2" s="341">
        <v>0</v>
      </c>
      <c r="BC2" s="341">
        <v>0</v>
      </c>
      <c r="BD2" s="341">
        <v>0</v>
      </c>
      <c r="BE2" s="341">
        <v>0</v>
      </c>
      <c r="BF2" s="341">
        <v>0</v>
      </c>
      <c r="BG2" s="341">
        <v>0</v>
      </c>
      <c r="BH2" s="341">
        <v>0</v>
      </c>
      <c r="BI2" s="341">
        <v>0</v>
      </c>
      <c r="BJ2" s="341">
        <v>0</v>
      </c>
      <c r="BK2" s="341">
        <v>0</v>
      </c>
      <c r="BL2" s="341">
        <v>12</v>
      </c>
      <c r="BM2" s="341"/>
      <c r="BN2" s="341">
        <v>12</v>
      </c>
      <c r="BO2" s="341" t="s">
        <v>758</v>
      </c>
      <c r="BP2" s="347"/>
      <c r="BQ2" s="341"/>
      <c r="BR2" s="341"/>
      <c r="BS2" s="338"/>
      <c r="BT2" s="338"/>
      <c r="BU2" s="341"/>
      <c r="BV2" s="341" t="s">
        <v>758</v>
      </c>
      <c r="BW2" s="341"/>
      <c r="BX2" s="338" t="s">
        <v>763</v>
      </c>
      <c r="BY2" s="348" t="s">
        <v>764</v>
      </c>
    </row>
    <row r="3" spans="1:77" x14ac:dyDescent="0.15">
      <c r="A3" s="338">
        <v>207</v>
      </c>
      <c r="B3" s="339">
        <v>43200</v>
      </c>
      <c r="C3" s="340" t="s">
        <v>755</v>
      </c>
      <c r="D3" s="338" t="s">
        <v>454</v>
      </c>
      <c r="E3" s="338"/>
      <c r="F3" s="338" t="s">
        <v>756</v>
      </c>
      <c r="G3" s="349">
        <v>43060</v>
      </c>
      <c r="H3" s="341" t="s">
        <v>175</v>
      </c>
      <c r="I3" s="341" t="s">
        <v>174</v>
      </c>
      <c r="J3" s="341">
        <v>2</v>
      </c>
      <c r="K3" s="338" t="s">
        <v>765</v>
      </c>
      <c r="L3" s="338" t="s">
        <v>766</v>
      </c>
      <c r="M3" s="342">
        <v>85.963636363636354</v>
      </c>
      <c r="N3" s="342">
        <v>27.136363636363637</v>
      </c>
      <c r="O3" s="338"/>
      <c r="P3" s="343"/>
      <c r="Q3" s="344"/>
      <c r="R3" s="343"/>
      <c r="S3" s="344"/>
      <c r="T3" s="343"/>
      <c r="U3" s="338"/>
      <c r="V3" s="344"/>
      <c r="W3" s="344"/>
      <c r="X3" s="338"/>
      <c r="Y3" s="338"/>
      <c r="Z3" s="338"/>
      <c r="AA3" s="338"/>
      <c r="AB3" s="338"/>
      <c r="AC3" s="338"/>
      <c r="AD3" s="338"/>
      <c r="AE3" s="344"/>
      <c r="AF3" s="344"/>
      <c r="AG3" s="343"/>
      <c r="AH3" s="338"/>
      <c r="AI3" s="344"/>
      <c r="AJ3" s="338"/>
      <c r="AK3" s="338"/>
      <c r="AL3" s="338"/>
      <c r="AM3" s="338"/>
      <c r="AN3" s="344"/>
      <c r="AO3" s="345"/>
      <c r="AP3" s="344"/>
      <c r="AQ3" s="338" t="s">
        <v>761</v>
      </c>
      <c r="AR3" s="341" t="s">
        <v>758</v>
      </c>
      <c r="AS3" s="341"/>
      <c r="AT3" s="341"/>
      <c r="AU3" s="341"/>
      <c r="AV3" s="341">
        <v>8</v>
      </c>
      <c r="AW3" s="341"/>
      <c r="AX3" s="341"/>
      <c r="AY3" s="341"/>
      <c r="AZ3" s="341" t="s">
        <v>758</v>
      </c>
      <c r="BA3" s="338"/>
      <c r="BB3" s="341">
        <v>0</v>
      </c>
      <c r="BC3" s="341">
        <v>0</v>
      </c>
      <c r="BD3" s="341">
        <v>0</v>
      </c>
      <c r="BE3" s="341">
        <v>0</v>
      </c>
      <c r="BF3" s="341">
        <v>0</v>
      </c>
      <c r="BG3" s="341">
        <v>0</v>
      </c>
      <c r="BH3" s="341">
        <v>0</v>
      </c>
      <c r="BI3" s="341">
        <v>0</v>
      </c>
      <c r="BJ3" s="341">
        <v>0</v>
      </c>
      <c r="BK3" s="341">
        <v>0</v>
      </c>
      <c r="BL3" s="341"/>
      <c r="BM3" s="341"/>
      <c r="BN3" s="341"/>
      <c r="BO3" s="341" t="s">
        <v>758</v>
      </c>
      <c r="BP3" s="347"/>
      <c r="BQ3" s="341"/>
      <c r="BR3" s="341"/>
      <c r="BS3" s="338"/>
      <c r="BT3" s="338"/>
      <c r="BU3" s="341"/>
      <c r="BV3" s="341" t="s">
        <v>758</v>
      </c>
      <c r="BW3" s="341">
        <v>1</v>
      </c>
      <c r="BX3" s="338"/>
      <c r="BY3" s="338" t="s">
        <v>767</v>
      </c>
    </row>
    <row r="4" spans="1:77" x14ac:dyDescent="0.15">
      <c r="A4" s="338">
        <v>432</v>
      </c>
      <c r="B4" s="339">
        <v>43200</v>
      </c>
      <c r="C4" s="340" t="s">
        <v>755</v>
      </c>
      <c r="D4" s="338" t="s">
        <v>454</v>
      </c>
      <c r="E4" s="338"/>
      <c r="F4" s="338" t="s">
        <v>756</v>
      </c>
      <c r="G4" s="339">
        <v>42948</v>
      </c>
      <c r="H4" s="341" t="s">
        <v>757</v>
      </c>
      <c r="I4" s="341" t="s">
        <v>758</v>
      </c>
      <c r="J4" s="341">
        <v>3</v>
      </c>
      <c r="K4" s="338" t="s">
        <v>768</v>
      </c>
      <c r="L4" s="338" t="s">
        <v>517</v>
      </c>
      <c r="M4" s="342">
        <v>95.499999999999986</v>
      </c>
      <c r="N4" s="342">
        <v>30.154545454545453</v>
      </c>
      <c r="O4" s="24" t="s">
        <v>518</v>
      </c>
      <c r="P4" s="25">
        <v>1000</v>
      </c>
      <c r="Q4" s="342">
        <v>36.75454545454545</v>
      </c>
      <c r="R4" s="343"/>
      <c r="S4" s="344"/>
      <c r="T4" s="343"/>
      <c r="U4" s="338"/>
      <c r="V4" s="344"/>
      <c r="W4" s="344"/>
      <c r="X4" s="338"/>
      <c r="Y4" s="338"/>
      <c r="Z4" s="338"/>
      <c r="AA4" s="338"/>
      <c r="AB4" s="338"/>
      <c r="AC4" s="338"/>
      <c r="AD4" s="338"/>
      <c r="AE4" s="344"/>
      <c r="AF4" s="344"/>
      <c r="AG4" s="343"/>
      <c r="AH4" s="338"/>
      <c r="AI4" s="344"/>
      <c r="AJ4" s="338"/>
      <c r="AK4" s="338"/>
      <c r="AL4" s="338"/>
      <c r="AM4" s="338"/>
      <c r="AN4" s="344"/>
      <c r="AO4" s="345"/>
      <c r="AP4" s="344"/>
      <c r="AQ4" s="346" t="s">
        <v>761</v>
      </c>
      <c r="AR4" s="341" t="s">
        <v>758</v>
      </c>
      <c r="AS4" s="341"/>
      <c r="AT4" s="341"/>
      <c r="AU4" s="341"/>
      <c r="AV4" s="341">
        <v>7</v>
      </c>
      <c r="AW4" s="341"/>
      <c r="AX4" s="341"/>
      <c r="AY4" s="341"/>
      <c r="AZ4" s="341" t="s">
        <v>762</v>
      </c>
      <c r="BA4" s="338"/>
      <c r="BB4" s="341">
        <v>0</v>
      </c>
      <c r="BC4" s="341">
        <v>0</v>
      </c>
      <c r="BD4" s="341">
        <v>7</v>
      </c>
      <c r="BE4" s="341">
        <v>0</v>
      </c>
      <c r="BF4" s="341">
        <v>0</v>
      </c>
      <c r="BG4" s="341">
        <v>0</v>
      </c>
      <c r="BH4" s="341">
        <v>0</v>
      </c>
      <c r="BI4" s="341">
        <v>0</v>
      </c>
      <c r="BJ4" s="341">
        <v>0</v>
      </c>
      <c r="BK4" s="341">
        <v>0</v>
      </c>
      <c r="BL4" s="341"/>
      <c r="BM4" s="341"/>
      <c r="BN4" s="341"/>
      <c r="BO4" s="341" t="s">
        <v>758</v>
      </c>
      <c r="BP4" s="347"/>
      <c r="BQ4" s="341"/>
      <c r="BR4" s="341"/>
      <c r="BS4" s="338"/>
      <c r="BT4" s="338"/>
      <c r="BU4" s="341"/>
      <c r="BV4" s="341" t="s">
        <v>758</v>
      </c>
      <c r="BW4" s="341"/>
      <c r="BX4" s="338"/>
      <c r="BY4" s="338" t="s">
        <v>745</v>
      </c>
    </row>
    <row r="5" spans="1:77" x14ac:dyDescent="0.15">
      <c r="A5" s="338">
        <v>762</v>
      </c>
      <c r="B5" s="339">
        <v>43200</v>
      </c>
      <c r="C5" s="340" t="s">
        <v>755</v>
      </c>
      <c r="D5" s="338" t="s">
        <v>454</v>
      </c>
      <c r="E5" s="338"/>
      <c r="F5" s="338" t="s">
        <v>756</v>
      </c>
      <c r="G5" s="339">
        <v>43008</v>
      </c>
      <c r="H5" s="341" t="s">
        <v>757</v>
      </c>
      <c r="I5" s="341" t="s">
        <v>758</v>
      </c>
      <c r="J5" s="341">
        <v>4</v>
      </c>
      <c r="K5" s="338" t="s">
        <v>769</v>
      </c>
      <c r="L5" s="338" t="s">
        <v>520</v>
      </c>
      <c r="M5" s="342">
        <v>98.499999999999986</v>
      </c>
      <c r="N5" s="342">
        <v>34.718181818181812</v>
      </c>
      <c r="O5" s="338"/>
      <c r="P5" s="343"/>
      <c r="Q5" s="344"/>
      <c r="R5" s="343"/>
      <c r="S5" s="344"/>
      <c r="T5" s="343"/>
      <c r="U5" s="338"/>
      <c r="V5" s="344"/>
      <c r="W5" s="344"/>
      <c r="X5" s="343"/>
      <c r="Y5" s="338"/>
      <c r="Z5" s="343"/>
      <c r="AA5" s="338"/>
      <c r="AB5" s="343"/>
      <c r="AC5" s="338"/>
      <c r="AD5" s="338"/>
      <c r="AE5" s="344"/>
      <c r="AF5" s="344"/>
      <c r="AG5" s="343"/>
      <c r="AH5" s="338"/>
      <c r="AI5" s="344"/>
      <c r="AJ5" s="338"/>
      <c r="AK5" s="338"/>
      <c r="AL5" s="338"/>
      <c r="AM5" s="338"/>
      <c r="AN5" s="344"/>
      <c r="AO5" s="345"/>
      <c r="AP5" s="344"/>
      <c r="AQ5" s="338" t="s">
        <v>761</v>
      </c>
      <c r="AR5" s="341" t="s">
        <v>758</v>
      </c>
      <c r="AS5" s="341"/>
      <c r="AT5" s="341"/>
      <c r="AU5" s="341"/>
      <c r="AV5" s="341">
        <v>9.35</v>
      </c>
      <c r="AW5" s="341"/>
      <c r="AX5" s="341"/>
      <c r="AY5" s="341"/>
      <c r="AZ5" s="341" t="s">
        <v>762</v>
      </c>
      <c r="BA5" s="338"/>
      <c r="BB5" s="341">
        <v>3</v>
      </c>
      <c r="BC5" s="341">
        <v>0</v>
      </c>
      <c r="BD5" s="341">
        <v>0</v>
      </c>
      <c r="BE5" s="341">
        <v>0</v>
      </c>
      <c r="BF5" s="341">
        <v>0</v>
      </c>
      <c r="BG5" s="341">
        <v>0</v>
      </c>
      <c r="BH5" s="341">
        <v>0</v>
      </c>
      <c r="BI5" s="341">
        <v>0</v>
      </c>
      <c r="BJ5" s="341">
        <v>0</v>
      </c>
      <c r="BK5" s="341">
        <v>0</v>
      </c>
      <c r="BL5" s="341"/>
      <c r="BM5" s="341"/>
      <c r="BN5" s="341">
        <v>12</v>
      </c>
      <c r="BO5" s="341" t="s">
        <v>758</v>
      </c>
      <c r="BP5" s="347"/>
      <c r="BQ5" s="341">
        <v>12</v>
      </c>
      <c r="BR5" s="341"/>
      <c r="BS5" s="338"/>
      <c r="BT5" s="338"/>
      <c r="BU5" s="341"/>
      <c r="BV5" s="341" t="s">
        <v>758</v>
      </c>
      <c r="BW5" s="341">
        <v>1</v>
      </c>
      <c r="BX5" s="338"/>
      <c r="BY5" s="338" t="s">
        <v>744</v>
      </c>
    </row>
    <row r="6" spans="1:77" x14ac:dyDescent="0.15">
      <c r="A6" s="338">
        <v>977</v>
      </c>
      <c r="B6" s="339">
        <v>43200</v>
      </c>
      <c r="C6" s="340" t="s">
        <v>755</v>
      </c>
      <c r="D6" s="338" t="s">
        <v>454</v>
      </c>
      <c r="E6" s="338"/>
      <c r="F6" s="338" t="s">
        <v>756</v>
      </c>
      <c r="G6" s="339">
        <v>42964</v>
      </c>
      <c r="H6" s="341" t="s">
        <v>757</v>
      </c>
      <c r="I6" s="341" t="s">
        <v>758</v>
      </c>
      <c r="J6" s="341">
        <v>5</v>
      </c>
      <c r="K6" s="338" t="s">
        <v>302</v>
      </c>
      <c r="L6" s="338" t="s">
        <v>521</v>
      </c>
      <c r="M6" s="342">
        <v>86.018181818181816</v>
      </c>
      <c r="N6" s="342">
        <v>29.554545454545451</v>
      </c>
      <c r="O6" s="338"/>
      <c r="P6" s="343"/>
      <c r="Q6" s="344"/>
      <c r="R6" s="343"/>
      <c r="S6" s="344"/>
      <c r="T6" s="343"/>
      <c r="U6" s="338"/>
      <c r="V6" s="344"/>
      <c r="W6" s="344"/>
      <c r="X6" s="338"/>
      <c r="Y6" s="338"/>
      <c r="Z6" s="338"/>
      <c r="AA6" s="338"/>
      <c r="AB6" s="338"/>
      <c r="AC6" s="338"/>
      <c r="AD6" s="338"/>
      <c r="AE6" s="344"/>
      <c r="AF6" s="344"/>
      <c r="AG6" s="343"/>
      <c r="AH6" s="338"/>
      <c r="AI6" s="344"/>
      <c r="AJ6" s="338"/>
      <c r="AK6" s="338"/>
      <c r="AL6" s="338"/>
      <c r="AM6" s="338"/>
      <c r="AN6" s="344"/>
      <c r="AO6" s="345"/>
      <c r="AP6" s="344"/>
      <c r="AQ6" s="338" t="s">
        <v>761</v>
      </c>
      <c r="AR6" s="341" t="s">
        <v>758</v>
      </c>
      <c r="AS6" s="341"/>
      <c r="AT6" s="341"/>
      <c r="AU6" s="341"/>
      <c r="AV6" s="341">
        <v>3</v>
      </c>
      <c r="AW6" s="341"/>
      <c r="AX6" s="341"/>
      <c r="AY6" s="341"/>
      <c r="AZ6" s="341" t="s">
        <v>361</v>
      </c>
      <c r="BA6" s="338"/>
      <c r="BB6" s="341">
        <v>0</v>
      </c>
      <c r="BC6" s="341">
        <v>0</v>
      </c>
      <c r="BD6" s="341">
        <v>0</v>
      </c>
      <c r="BE6" s="341">
        <v>0</v>
      </c>
      <c r="BF6" s="341">
        <v>0</v>
      </c>
      <c r="BG6" s="341">
        <v>0</v>
      </c>
      <c r="BH6" s="341">
        <v>0</v>
      </c>
      <c r="BI6" s="341">
        <v>0</v>
      </c>
      <c r="BJ6" s="341">
        <v>0</v>
      </c>
      <c r="BK6" s="341">
        <v>0</v>
      </c>
      <c r="BL6" s="341"/>
      <c r="BM6" s="341"/>
      <c r="BN6" s="341"/>
      <c r="BO6" s="341" t="s">
        <v>758</v>
      </c>
      <c r="BP6" s="347"/>
      <c r="BQ6" s="341"/>
      <c r="BR6" s="341"/>
      <c r="BS6" s="338"/>
      <c r="BT6" s="338"/>
      <c r="BU6" s="341"/>
      <c r="BV6" s="341" t="s">
        <v>758</v>
      </c>
      <c r="BW6" s="341"/>
      <c r="BX6" s="338"/>
      <c r="BY6" s="338" t="s">
        <v>746</v>
      </c>
    </row>
    <row r="7" spans="1:77" x14ac:dyDescent="0.15">
      <c r="A7" s="338">
        <v>1176</v>
      </c>
      <c r="B7" s="339">
        <v>43200</v>
      </c>
      <c r="C7" s="340" t="s">
        <v>755</v>
      </c>
      <c r="D7" s="338" t="s">
        <v>454</v>
      </c>
      <c r="E7" s="338"/>
      <c r="F7" s="338" t="s">
        <v>756</v>
      </c>
      <c r="G7" s="339">
        <v>43070</v>
      </c>
      <c r="H7" s="341" t="s">
        <v>757</v>
      </c>
      <c r="I7" s="341" t="s">
        <v>758</v>
      </c>
      <c r="J7" s="341">
        <v>6</v>
      </c>
      <c r="K7" s="338" t="s">
        <v>770</v>
      </c>
      <c r="L7" s="338" t="s">
        <v>771</v>
      </c>
      <c r="M7" s="342">
        <v>114.31818181818181</v>
      </c>
      <c r="N7" s="342">
        <v>30.77272727272727</v>
      </c>
      <c r="O7" s="338"/>
      <c r="P7" s="343"/>
      <c r="Q7" s="344"/>
      <c r="R7" s="343"/>
      <c r="S7" s="344"/>
      <c r="T7" s="338"/>
      <c r="U7" s="338"/>
      <c r="V7" s="344"/>
      <c r="W7" s="344"/>
      <c r="X7" s="338"/>
      <c r="Y7" s="338"/>
      <c r="Z7" s="338"/>
      <c r="AA7" s="338"/>
      <c r="AB7" s="338"/>
      <c r="AC7" s="338"/>
      <c r="AD7" s="338"/>
      <c r="AE7" s="344"/>
      <c r="AF7" s="344"/>
      <c r="AG7" s="343"/>
      <c r="AH7" s="338"/>
      <c r="AI7" s="344"/>
      <c r="AJ7" s="338"/>
      <c r="AK7" s="338"/>
      <c r="AL7" s="338"/>
      <c r="AM7" s="338"/>
      <c r="AN7" s="344"/>
      <c r="AO7" s="345"/>
      <c r="AP7" s="344"/>
      <c r="AQ7" s="346" t="s">
        <v>761</v>
      </c>
      <c r="AR7" s="341" t="s">
        <v>758</v>
      </c>
      <c r="AS7" s="341"/>
      <c r="AT7" s="341"/>
      <c r="AU7" s="341"/>
      <c r="AV7" s="341">
        <v>6.8</v>
      </c>
      <c r="AW7" s="341"/>
      <c r="AX7" s="341"/>
      <c r="AY7" s="341"/>
      <c r="AZ7" s="341" t="s">
        <v>361</v>
      </c>
      <c r="BA7" s="338"/>
      <c r="BB7" s="341">
        <v>0</v>
      </c>
      <c r="BC7" s="341">
        <v>0</v>
      </c>
      <c r="BD7" s="341">
        <v>0</v>
      </c>
      <c r="BE7" s="341">
        <v>0</v>
      </c>
      <c r="BF7" s="341">
        <v>0</v>
      </c>
      <c r="BG7" s="341">
        <v>0</v>
      </c>
      <c r="BH7" s="341">
        <v>0</v>
      </c>
      <c r="BI7" s="341">
        <v>0</v>
      </c>
      <c r="BJ7" s="341">
        <v>0</v>
      </c>
      <c r="BK7" s="341">
        <v>0</v>
      </c>
      <c r="BL7" s="341"/>
      <c r="BM7" s="341"/>
      <c r="BN7" s="341"/>
      <c r="BO7" s="341" t="s">
        <v>758</v>
      </c>
      <c r="BP7" s="347"/>
      <c r="BQ7" s="341"/>
      <c r="BR7" s="341"/>
      <c r="BS7" s="338"/>
      <c r="BT7" s="338"/>
      <c r="BU7" s="341"/>
      <c r="BV7" s="341" t="s">
        <v>758</v>
      </c>
      <c r="BW7" s="341"/>
      <c r="BX7" s="338"/>
      <c r="BY7" s="145" t="s">
        <v>772</v>
      </c>
    </row>
    <row r="8" spans="1:77" x14ac:dyDescent="0.15">
      <c r="A8" s="338">
        <v>1380</v>
      </c>
      <c r="B8" s="339">
        <v>43200</v>
      </c>
      <c r="C8" s="340" t="s">
        <v>755</v>
      </c>
      <c r="D8" s="338" t="s">
        <v>454</v>
      </c>
      <c r="E8" s="338"/>
      <c r="F8" s="338" t="s">
        <v>756</v>
      </c>
      <c r="G8" s="339">
        <v>43075</v>
      </c>
      <c r="H8" s="341" t="s">
        <v>757</v>
      </c>
      <c r="I8" s="341" t="s">
        <v>758</v>
      </c>
      <c r="J8" s="341">
        <v>7</v>
      </c>
      <c r="K8" s="338" t="s">
        <v>773</v>
      </c>
      <c r="L8" s="338" t="s">
        <v>774</v>
      </c>
      <c r="M8" s="342">
        <v>73.336363636363629</v>
      </c>
      <c r="N8" s="342">
        <v>29.336363636363636</v>
      </c>
      <c r="O8" s="338"/>
      <c r="P8" s="343"/>
      <c r="Q8" s="344"/>
      <c r="R8" s="343"/>
      <c r="S8" s="344"/>
      <c r="T8" s="343"/>
      <c r="U8" s="338"/>
      <c r="V8" s="344"/>
      <c r="W8" s="344"/>
      <c r="X8" s="338"/>
      <c r="Y8" s="338"/>
      <c r="Z8" s="343"/>
      <c r="AA8" s="338"/>
      <c r="AB8" s="343"/>
      <c r="AC8" s="338"/>
      <c r="AD8" s="338"/>
      <c r="AE8" s="344"/>
      <c r="AF8" s="344"/>
      <c r="AG8" s="343"/>
      <c r="AH8" s="338"/>
      <c r="AI8" s="344"/>
      <c r="AJ8" s="338"/>
      <c r="AK8" s="338"/>
      <c r="AL8" s="338"/>
      <c r="AM8" s="338"/>
      <c r="AN8" s="344"/>
      <c r="AO8" s="345"/>
      <c r="AP8" s="344"/>
      <c r="AQ8" s="346" t="s">
        <v>761</v>
      </c>
      <c r="AR8" s="341" t="s">
        <v>758</v>
      </c>
      <c r="AS8" s="341"/>
      <c r="AT8" s="341"/>
      <c r="AU8" s="341"/>
      <c r="AV8" s="341">
        <v>6</v>
      </c>
      <c r="AW8" s="341"/>
      <c r="AX8" s="341"/>
      <c r="AY8" s="341"/>
      <c r="AZ8" s="341" t="s">
        <v>762</v>
      </c>
      <c r="BA8" s="338"/>
      <c r="BB8" s="341">
        <v>0</v>
      </c>
      <c r="BC8" s="341">
        <v>0</v>
      </c>
      <c r="BD8" s="341">
        <v>0</v>
      </c>
      <c r="BE8" s="341">
        <v>0</v>
      </c>
      <c r="BF8" s="341">
        <v>0</v>
      </c>
      <c r="BG8" s="341">
        <v>0</v>
      </c>
      <c r="BH8" s="341">
        <v>0</v>
      </c>
      <c r="BI8" s="341">
        <v>0</v>
      </c>
      <c r="BJ8" s="341">
        <v>0</v>
      </c>
      <c r="BK8" s="341">
        <v>0</v>
      </c>
      <c r="BL8" s="341"/>
      <c r="BM8" s="341"/>
      <c r="BN8" s="341">
        <v>12</v>
      </c>
      <c r="BO8" s="341" t="s">
        <v>758</v>
      </c>
      <c r="BP8" s="347"/>
      <c r="BQ8" s="341"/>
      <c r="BR8" s="341"/>
      <c r="BS8" s="338"/>
      <c r="BT8" s="338"/>
      <c r="BU8" s="341"/>
      <c r="BV8" s="341" t="s">
        <v>758</v>
      </c>
      <c r="BW8" s="341"/>
      <c r="BX8" s="338"/>
      <c r="BY8" s="350" t="s">
        <v>775</v>
      </c>
    </row>
    <row r="9" spans="1:77" x14ac:dyDescent="0.15">
      <c r="A9" s="338">
        <v>1714</v>
      </c>
      <c r="B9" s="339">
        <v>43200</v>
      </c>
      <c r="C9" s="340" t="s">
        <v>755</v>
      </c>
      <c r="D9" s="338" t="s">
        <v>454</v>
      </c>
      <c r="E9" s="338"/>
      <c r="F9" s="338" t="s">
        <v>756</v>
      </c>
      <c r="G9" s="339">
        <v>42964</v>
      </c>
      <c r="H9" s="341" t="s">
        <v>757</v>
      </c>
      <c r="I9" s="341" t="s">
        <v>758</v>
      </c>
      <c r="J9" s="341">
        <v>9</v>
      </c>
      <c r="K9" s="338" t="s">
        <v>776</v>
      </c>
      <c r="L9" s="338" t="s">
        <v>525</v>
      </c>
      <c r="M9" s="342">
        <v>86.018181818181816</v>
      </c>
      <c r="N9" s="342">
        <v>29.554545454545451</v>
      </c>
      <c r="O9" s="338"/>
      <c r="P9" s="343"/>
      <c r="Q9" s="344"/>
      <c r="R9" s="343"/>
      <c r="S9" s="344"/>
      <c r="T9" s="338"/>
      <c r="U9" s="338"/>
      <c r="V9" s="344"/>
      <c r="W9" s="344"/>
      <c r="X9" s="338"/>
      <c r="Y9" s="338"/>
      <c r="Z9" s="338"/>
      <c r="AA9" s="338"/>
      <c r="AB9" s="338"/>
      <c r="AC9" s="338"/>
      <c r="AD9" s="338"/>
      <c r="AE9" s="344"/>
      <c r="AF9" s="344"/>
      <c r="AG9" s="343"/>
      <c r="AH9" s="338"/>
      <c r="AI9" s="344"/>
      <c r="AJ9" s="338"/>
      <c r="AK9" s="338"/>
      <c r="AL9" s="338"/>
      <c r="AM9" s="338"/>
      <c r="AN9" s="344"/>
      <c r="AO9" s="345"/>
      <c r="AP9" s="344"/>
      <c r="AQ9" s="338" t="s">
        <v>761</v>
      </c>
      <c r="AR9" s="341" t="s">
        <v>758</v>
      </c>
      <c r="AS9" s="341"/>
      <c r="AT9" s="341"/>
      <c r="AU9" s="341"/>
      <c r="AV9" s="341">
        <v>3</v>
      </c>
      <c r="AW9" s="341"/>
      <c r="AX9" s="341"/>
      <c r="AY9" s="341"/>
      <c r="AZ9" s="341" t="s">
        <v>762</v>
      </c>
      <c r="BA9" s="338"/>
      <c r="BB9" s="341">
        <v>0</v>
      </c>
      <c r="BC9" s="341">
        <v>0</v>
      </c>
      <c r="BD9" s="341">
        <v>0</v>
      </c>
      <c r="BE9" s="341">
        <v>0</v>
      </c>
      <c r="BF9" s="341">
        <v>0</v>
      </c>
      <c r="BG9" s="341">
        <v>0</v>
      </c>
      <c r="BH9" s="341">
        <v>0</v>
      </c>
      <c r="BI9" s="341">
        <v>0</v>
      </c>
      <c r="BJ9" s="341">
        <v>0</v>
      </c>
      <c r="BK9" s="341">
        <v>0</v>
      </c>
      <c r="BL9" s="341"/>
      <c r="BM9" s="341"/>
      <c r="BN9" s="341"/>
      <c r="BO9" s="341" t="s">
        <v>758</v>
      </c>
      <c r="BP9" s="347"/>
      <c r="BQ9" s="341"/>
      <c r="BR9" s="351"/>
      <c r="BS9" s="338"/>
      <c r="BT9" s="338"/>
      <c r="BU9" s="341"/>
      <c r="BV9" s="341" t="s">
        <v>758</v>
      </c>
      <c r="BW9" s="341"/>
      <c r="BX9" s="338"/>
      <c r="BY9" s="338" t="s">
        <v>588</v>
      </c>
    </row>
    <row r="10" spans="1:77" x14ac:dyDescent="0.15">
      <c r="A10" s="338">
        <v>1773</v>
      </c>
      <c r="B10" s="339">
        <v>43200</v>
      </c>
      <c r="C10" s="340" t="s">
        <v>755</v>
      </c>
      <c r="D10" s="338" t="s">
        <v>454</v>
      </c>
      <c r="E10" s="338"/>
      <c r="F10" s="338" t="s">
        <v>756</v>
      </c>
      <c r="G10" s="349">
        <v>42930</v>
      </c>
      <c r="H10" s="341" t="s">
        <v>757</v>
      </c>
      <c r="I10" s="341" t="s">
        <v>758</v>
      </c>
      <c r="J10" s="341">
        <v>10</v>
      </c>
      <c r="K10" s="338" t="s">
        <v>777</v>
      </c>
      <c r="L10" s="338" t="s">
        <v>778</v>
      </c>
      <c r="M10" s="342">
        <v>96.899999999999991</v>
      </c>
      <c r="N10" s="342">
        <v>36.327272727272728</v>
      </c>
      <c r="O10" s="68" t="s">
        <v>518</v>
      </c>
      <c r="P10" s="25">
        <v>3822</v>
      </c>
      <c r="Q10" s="342">
        <v>35.509090909090908</v>
      </c>
      <c r="R10" s="343"/>
      <c r="S10" s="344"/>
      <c r="T10" s="343"/>
      <c r="U10" s="338"/>
      <c r="V10" s="344"/>
      <c r="W10" s="344"/>
      <c r="X10" s="338"/>
      <c r="Y10" s="338"/>
      <c r="Z10" s="338"/>
      <c r="AA10" s="338"/>
      <c r="AB10" s="338"/>
      <c r="AC10" s="338"/>
      <c r="AD10" s="338"/>
      <c r="AE10" s="344"/>
      <c r="AF10" s="344"/>
      <c r="AG10" s="338"/>
      <c r="AH10" s="338"/>
      <c r="AI10" s="344"/>
      <c r="AJ10" s="338"/>
      <c r="AK10" s="338"/>
      <c r="AL10" s="338"/>
      <c r="AM10" s="338"/>
      <c r="AN10" s="344"/>
      <c r="AO10" s="345"/>
      <c r="AP10" s="344"/>
      <c r="AQ10" s="338" t="s">
        <v>761</v>
      </c>
      <c r="AR10" s="341" t="s">
        <v>758</v>
      </c>
      <c r="AS10" s="341"/>
      <c r="AT10" s="341"/>
      <c r="AU10" s="341"/>
      <c r="AV10" s="341">
        <v>4.5</v>
      </c>
      <c r="AW10" s="341"/>
      <c r="AX10" s="341"/>
      <c r="AY10" s="341"/>
      <c r="AZ10" s="341" t="s">
        <v>758</v>
      </c>
      <c r="BA10" s="338"/>
      <c r="BB10" s="341">
        <v>18</v>
      </c>
      <c r="BC10" s="341">
        <v>0</v>
      </c>
      <c r="BD10" s="341">
        <v>0</v>
      </c>
      <c r="BE10" s="341">
        <v>0</v>
      </c>
      <c r="BF10" s="341">
        <v>0</v>
      </c>
      <c r="BG10" s="341">
        <v>0</v>
      </c>
      <c r="BH10" s="341">
        <v>0</v>
      </c>
      <c r="BI10" s="341">
        <v>0</v>
      </c>
      <c r="BJ10" s="341">
        <v>0</v>
      </c>
      <c r="BK10" s="341">
        <v>0</v>
      </c>
      <c r="BL10" s="341"/>
      <c r="BM10" s="341"/>
      <c r="BN10" s="341"/>
      <c r="BO10" s="341" t="s">
        <v>758</v>
      </c>
      <c r="BP10" s="347"/>
      <c r="BQ10" s="341"/>
      <c r="BR10" s="341"/>
      <c r="BS10" s="352"/>
      <c r="BT10" s="352"/>
      <c r="BU10" s="341"/>
      <c r="BV10" s="341" t="s">
        <v>758</v>
      </c>
      <c r="BW10" s="341"/>
      <c r="BX10" s="338"/>
      <c r="BY10" s="338" t="s">
        <v>730</v>
      </c>
    </row>
    <row r="11" spans="1:77" x14ac:dyDescent="0.15">
      <c r="A11" s="338">
        <v>254</v>
      </c>
      <c r="B11" s="339">
        <v>43200</v>
      </c>
      <c r="C11" s="340" t="s">
        <v>755</v>
      </c>
      <c r="D11" s="338" t="s">
        <v>454</v>
      </c>
      <c r="E11" s="338"/>
      <c r="F11" s="338" t="s">
        <v>756</v>
      </c>
      <c r="G11" s="349">
        <v>43021</v>
      </c>
      <c r="H11" s="341" t="s">
        <v>175</v>
      </c>
      <c r="I11" s="341" t="s">
        <v>174</v>
      </c>
      <c r="J11" s="341">
        <v>11</v>
      </c>
      <c r="K11" s="338" t="s">
        <v>779</v>
      </c>
      <c r="L11" s="338" t="s">
        <v>780</v>
      </c>
      <c r="M11" s="342">
        <v>99.318181818181813</v>
      </c>
      <c r="N11" s="342">
        <v>26.109090909090906</v>
      </c>
      <c r="O11" s="338"/>
      <c r="P11" s="338"/>
      <c r="Q11" s="344"/>
      <c r="R11" s="338"/>
      <c r="S11" s="344"/>
      <c r="T11" s="338"/>
      <c r="U11" s="338"/>
      <c r="V11" s="344"/>
      <c r="W11" s="344"/>
      <c r="X11" s="338"/>
      <c r="Y11" s="338"/>
      <c r="Z11" s="338"/>
      <c r="AA11" s="338"/>
      <c r="AB11" s="338"/>
      <c r="AC11" s="338"/>
      <c r="AD11" s="338"/>
      <c r="AE11" s="344"/>
      <c r="AF11" s="344"/>
      <c r="AG11" s="338"/>
      <c r="AH11" s="338"/>
      <c r="AI11" s="344"/>
      <c r="AJ11" s="338"/>
      <c r="AK11" s="338"/>
      <c r="AL11" s="338"/>
      <c r="AM11" s="338"/>
      <c r="AN11" s="344"/>
      <c r="AO11" s="345"/>
      <c r="AP11" s="344"/>
      <c r="AQ11" s="346" t="s">
        <v>761</v>
      </c>
      <c r="AR11" s="341" t="s">
        <v>758</v>
      </c>
      <c r="AS11" s="341"/>
      <c r="AT11" s="341"/>
      <c r="AU11" s="341"/>
      <c r="AV11" s="341">
        <v>6.8</v>
      </c>
      <c r="AW11" s="341"/>
      <c r="AX11" s="341"/>
      <c r="AY11" s="341"/>
      <c r="AZ11" s="341" t="s">
        <v>758</v>
      </c>
      <c r="BA11" s="338"/>
      <c r="BB11" s="341">
        <v>0</v>
      </c>
      <c r="BC11" s="341">
        <v>0</v>
      </c>
      <c r="BD11" s="341">
        <v>0</v>
      </c>
      <c r="BE11" s="341">
        <v>0</v>
      </c>
      <c r="BF11" s="341">
        <v>0</v>
      </c>
      <c r="BG11" s="341">
        <v>0</v>
      </c>
      <c r="BH11" s="341">
        <v>0</v>
      </c>
      <c r="BI11" s="341">
        <v>0</v>
      </c>
      <c r="BJ11" s="341">
        <v>0</v>
      </c>
      <c r="BK11" s="341">
        <v>0</v>
      </c>
      <c r="BL11" s="341"/>
      <c r="BM11" s="341"/>
      <c r="BN11" s="341"/>
      <c r="BO11" s="341" t="s">
        <v>758</v>
      </c>
      <c r="BP11" s="347"/>
      <c r="BQ11" s="341"/>
      <c r="BR11" s="341"/>
      <c r="BS11" s="352"/>
      <c r="BT11" s="352"/>
      <c r="BU11" s="341"/>
      <c r="BV11" s="341" t="s">
        <v>758</v>
      </c>
      <c r="BW11" s="341">
        <v>1</v>
      </c>
      <c r="BX11" s="338"/>
      <c r="BY11" s="338" t="s">
        <v>722</v>
      </c>
    </row>
    <row r="12" spans="1:77" x14ac:dyDescent="0.15">
      <c r="A12" s="338">
        <v>1501</v>
      </c>
      <c r="B12" s="339">
        <v>43200</v>
      </c>
      <c r="C12" s="340" t="s">
        <v>755</v>
      </c>
      <c r="D12" s="338" t="s">
        <v>454</v>
      </c>
      <c r="E12" s="338"/>
      <c r="F12" s="338" t="s">
        <v>756</v>
      </c>
      <c r="G12" s="339">
        <v>43131</v>
      </c>
      <c r="H12" s="341" t="s">
        <v>757</v>
      </c>
      <c r="I12" s="341" t="s">
        <v>758</v>
      </c>
      <c r="J12" s="341">
        <v>12</v>
      </c>
      <c r="K12" s="338" t="s">
        <v>495</v>
      </c>
      <c r="L12" s="338" t="s">
        <v>781</v>
      </c>
      <c r="M12" s="342">
        <v>114.99999999999999</v>
      </c>
      <c r="N12" s="342">
        <v>29.9</v>
      </c>
      <c r="O12" s="338"/>
      <c r="P12" s="343"/>
      <c r="Q12" s="344"/>
      <c r="R12" s="343"/>
      <c r="S12" s="344"/>
      <c r="T12" s="338"/>
      <c r="U12" s="338"/>
      <c r="V12" s="344"/>
      <c r="W12" s="344"/>
      <c r="X12" s="338"/>
      <c r="Y12" s="338"/>
      <c r="Z12" s="338"/>
      <c r="AA12" s="338"/>
      <c r="AB12" s="338"/>
      <c r="AC12" s="338"/>
      <c r="AD12" s="338"/>
      <c r="AE12" s="344"/>
      <c r="AF12" s="344"/>
      <c r="AG12" s="343"/>
      <c r="AH12" s="338"/>
      <c r="AI12" s="344"/>
      <c r="AJ12" s="338"/>
      <c r="AK12" s="338"/>
      <c r="AL12" s="338"/>
      <c r="AM12" s="338"/>
      <c r="AN12" s="344"/>
      <c r="AO12" s="345"/>
      <c r="AP12" s="344"/>
      <c r="AQ12" s="346" t="s">
        <v>761</v>
      </c>
      <c r="AR12" s="341" t="s">
        <v>758</v>
      </c>
      <c r="AS12" s="341"/>
      <c r="AT12" s="341"/>
      <c r="AU12" s="341"/>
      <c r="AV12" s="341">
        <v>3</v>
      </c>
      <c r="AW12" s="341"/>
      <c r="AX12" s="341"/>
      <c r="AY12" s="341"/>
      <c r="AZ12" s="341" t="s">
        <v>762</v>
      </c>
      <c r="BA12" s="338"/>
      <c r="BB12" s="341">
        <v>0</v>
      </c>
      <c r="BC12" s="341">
        <v>0</v>
      </c>
      <c r="BD12" s="341">
        <v>0</v>
      </c>
      <c r="BE12" s="341">
        <v>0</v>
      </c>
      <c r="BF12" s="341">
        <v>0</v>
      </c>
      <c r="BG12" s="341">
        <v>0</v>
      </c>
      <c r="BH12" s="341">
        <v>0</v>
      </c>
      <c r="BI12" s="341">
        <v>0</v>
      </c>
      <c r="BJ12" s="341">
        <v>0</v>
      </c>
      <c r="BK12" s="341">
        <v>0</v>
      </c>
      <c r="BL12" s="341"/>
      <c r="BM12" s="341"/>
      <c r="BN12" s="341"/>
      <c r="BO12" s="341" t="s">
        <v>758</v>
      </c>
      <c r="BP12" s="347"/>
      <c r="BQ12" s="341"/>
      <c r="BR12" s="341"/>
      <c r="BS12" s="338"/>
      <c r="BT12" s="338"/>
      <c r="BU12" s="341"/>
      <c r="BV12" s="341" t="s">
        <v>758</v>
      </c>
      <c r="BW12" s="341">
        <v>1</v>
      </c>
      <c r="BX12" s="338"/>
      <c r="BY12" s="353" t="s">
        <v>782</v>
      </c>
    </row>
    <row r="13" spans="1:77" x14ac:dyDescent="0.15">
      <c r="A13" s="338">
        <v>1443</v>
      </c>
      <c r="B13" s="339">
        <v>43200</v>
      </c>
      <c r="C13" s="340" t="s">
        <v>755</v>
      </c>
      <c r="D13" s="338" t="s">
        <v>454</v>
      </c>
      <c r="E13" s="338"/>
      <c r="F13" s="338" t="s">
        <v>756</v>
      </c>
      <c r="G13" s="339">
        <v>42947</v>
      </c>
      <c r="H13" s="341" t="s">
        <v>757</v>
      </c>
      <c r="I13" s="341" t="s">
        <v>758</v>
      </c>
      <c r="J13" s="341">
        <v>13</v>
      </c>
      <c r="K13" s="338" t="s">
        <v>531</v>
      </c>
      <c r="L13" s="338" t="s">
        <v>783</v>
      </c>
      <c r="M13" s="342">
        <v>87.590909090909079</v>
      </c>
      <c r="N13" s="342">
        <v>24.263636363636362</v>
      </c>
      <c r="O13" s="338"/>
      <c r="P13" s="343"/>
      <c r="Q13" s="344"/>
      <c r="R13" s="343"/>
      <c r="S13" s="344"/>
      <c r="T13" s="343"/>
      <c r="U13" s="338"/>
      <c r="V13" s="344"/>
      <c r="W13" s="344"/>
      <c r="X13" s="338"/>
      <c r="Y13" s="338"/>
      <c r="Z13" s="343"/>
      <c r="AA13" s="338"/>
      <c r="AB13" s="343"/>
      <c r="AC13" s="338"/>
      <c r="AD13" s="338"/>
      <c r="AE13" s="344"/>
      <c r="AF13" s="344"/>
      <c r="AG13" s="343"/>
      <c r="AH13" s="338"/>
      <c r="AI13" s="344"/>
      <c r="AJ13" s="338"/>
      <c r="AK13" s="338"/>
      <c r="AL13" s="338"/>
      <c r="AM13" s="338"/>
      <c r="AN13" s="344"/>
      <c r="AO13" s="345"/>
      <c r="AP13" s="344"/>
      <c r="AQ13" s="338" t="s">
        <v>761</v>
      </c>
      <c r="AR13" s="341" t="s">
        <v>758</v>
      </c>
      <c r="AS13" s="341"/>
      <c r="AT13" s="341"/>
      <c r="AU13" s="341"/>
      <c r="AV13" s="341"/>
      <c r="AW13" s="341"/>
      <c r="AX13" s="341"/>
      <c r="AY13" s="341"/>
      <c r="AZ13" s="341" t="s">
        <v>174</v>
      </c>
      <c r="BA13" s="338"/>
      <c r="BB13" s="341">
        <v>0</v>
      </c>
      <c r="BC13" s="341">
        <v>0</v>
      </c>
      <c r="BD13" s="341">
        <v>0</v>
      </c>
      <c r="BE13" s="341">
        <v>0</v>
      </c>
      <c r="BF13" s="341">
        <v>0</v>
      </c>
      <c r="BG13" s="341">
        <v>0</v>
      </c>
      <c r="BH13" s="341">
        <v>0</v>
      </c>
      <c r="BI13" s="341">
        <v>0</v>
      </c>
      <c r="BJ13" s="341">
        <v>0</v>
      </c>
      <c r="BK13" s="341">
        <v>0</v>
      </c>
      <c r="BL13" s="341"/>
      <c r="BM13" s="341"/>
      <c r="BN13" s="341"/>
      <c r="BO13" s="341" t="s">
        <v>758</v>
      </c>
      <c r="BP13" s="354">
        <v>81.818181818181813</v>
      </c>
      <c r="BQ13" s="341"/>
      <c r="BR13" s="341"/>
      <c r="BS13" s="338"/>
      <c r="BT13" s="338"/>
      <c r="BU13" s="341"/>
      <c r="BV13" s="341" t="s">
        <v>758</v>
      </c>
      <c r="BW13" s="341">
        <v>1</v>
      </c>
      <c r="BX13" s="338" t="s">
        <v>592</v>
      </c>
      <c r="BY13" s="355" t="s">
        <v>720</v>
      </c>
    </row>
    <row r="14" spans="1:77" x14ac:dyDescent="0.15">
      <c r="A14" s="338">
        <v>591</v>
      </c>
      <c r="B14" s="339">
        <v>43200</v>
      </c>
      <c r="C14" s="340" t="s">
        <v>755</v>
      </c>
      <c r="D14" s="338" t="s">
        <v>454</v>
      </c>
      <c r="E14" s="338"/>
      <c r="F14" s="338" t="s">
        <v>756</v>
      </c>
      <c r="G14" s="349">
        <v>43057</v>
      </c>
      <c r="H14" s="341" t="s">
        <v>757</v>
      </c>
      <c r="I14" s="341" t="s">
        <v>758</v>
      </c>
      <c r="J14" s="341">
        <v>14</v>
      </c>
      <c r="K14" s="338" t="s">
        <v>784</v>
      </c>
      <c r="L14" s="338" t="s">
        <v>595</v>
      </c>
      <c r="M14" s="342">
        <v>70</v>
      </c>
      <c r="N14" s="342">
        <v>25.909090909090907</v>
      </c>
      <c r="O14" s="338"/>
      <c r="P14" s="343"/>
      <c r="Q14" s="344"/>
      <c r="R14" s="343"/>
      <c r="S14" s="344"/>
      <c r="T14" s="343"/>
      <c r="U14" s="338"/>
      <c r="V14" s="344"/>
      <c r="W14" s="344"/>
      <c r="X14" s="343"/>
      <c r="Y14" s="338"/>
      <c r="Z14" s="343"/>
      <c r="AA14" s="338"/>
      <c r="AB14" s="343"/>
      <c r="AC14" s="338"/>
      <c r="AD14" s="338"/>
      <c r="AE14" s="344"/>
      <c r="AF14" s="344"/>
      <c r="AG14" s="343"/>
      <c r="AH14" s="338"/>
      <c r="AI14" s="344"/>
      <c r="AJ14" s="338"/>
      <c r="AK14" s="338"/>
      <c r="AL14" s="338"/>
      <c r="AM14" s="338"/>
      <c r="AN14" s="344"/>
      <c r="AO14" s="345"/>
      <c r="AP14" s="344"/>
      <c r="AQ14" s="338" t="s">
        <v>761</v>
      </c>
      <c r="AR14" s="341" t="s">
        <v>758</v>
      </c>
      <c r="AS14" s="341"/>
      <c r="AT14" s="341"/>
      <c r="AU14" s="341"/>
      <c r="AV14" s="341">
        <v>7</v>
      </c>
      <c r="AW14" s="341"/>
      <c r="AX14" s="341"/>
      <c r="AY14" s="341"/>
      <c r="AZ14" s="341" t="s">
        <v>762</v>
      </c>
      <c r="BA14" s="338"/>
      <c r="BB14" s="341">
        <v>0</v>
      </c>
      <c r="BC14" s="341">
        <v>0</v>
      </c>
      <c r="BD14" s="341">
        <v>0</v>
      </c>
      <c r="BE14" s="341">
        <v>0</v>
      </c>
      <c r="BF14" s="341">
        <v>0</v>
      </c>
      <c r="BG14" s="341">
        <v>0</v>
      </c>
      <c r="BH14" s="341">
        <v>0</v>
      </c>
      <c r="BI14" s="341">
        <v>0</v>
      </c>
      <c r="BJ14" s="341">
        <v>0</v>
      </c>
      <c r="BK14" s="341">
        <v>0</v>
      </c>
      <c r="BL14" s="341"/>
      <c r="BM14" s="341"/>
      <c r="BN14" s="341"/>
      <c r="BO14" s="341" t="s">
        <v>758</v>
      </c>
      <c r="BP14" s="354">
        <v>163.58181818181816</v>
      </c>
      <c r="BQ14" s="341"/>
      <c r="BR14" s="351"/>
      <c r="BS14" s="352" t="s">
        <v>785</v>
      </c>
      <c r="BT14" s="352" t="s">
        <v>195</v>
      </c>
      <c r="BU14" s="352">
        <v>89.97</v>
      </c>
      <c r="BV14" s="341" t="s">
        <v>758</v>
      </c>
      <c r="BW14" s="341"/>
      <c r="BX14" s="338"/>
      <c r="BY14" s="338" t="s">
        <v>786</v>
      </c>
    </row>
    <row r="15" spans="1:77" x14ac:dyDescent="0.15">
      <c r="A15" s="338">
        <v>827</v>
      </c>
      <c r="B15" s="339">
        <v>43200</v>
      </c>
      <c r="C15" s="340" t="s">
        <v>755</v>
      </c>
      <c r="D15" s="338" t="s">
        <v>454</v>
      </c>
      <c r="E15" s="338"/>
      <c r="F15" s="338" t="s">
        <v>756</v>
      </c>
      <c r="G15" s="339">
        <v>42587</v>
      </c>
      <c r="H15" s="341" t="s">
        <v>757</v>
      </c>
      <c r="I15" s="341" t="s">
        <v>758</v>
      </c>
      <c r="J15" s="341">
        <v>15</v>
      </c>
      <c r="K15" s="338" t="s">
        <v>597</v>
      </c>
      <c r="L15" s="338" t="s">
        <v>787</v>
      </c>
      <c r="M15" s="342">
        <v>85.799999999999983</v>
      </c>
      <c r="N15" s="342">
        <v>30.418181818181818</v>
      </c>
      <c r="O15" s="338"/>
      <c r="P15" s="343"/>
      <c r="Q15" s="344"/>
      <c r="R15" s="343"/>
      <c r="S15" s="344"/>
      <c r="T15" s="343"/>
      <c r="U15" s="338"/>
      <c r="V15" s="344"/>
      <c r="W15" s="344"/>
      <c r="X15" s="343"/>
      <c r="Y15" s="338"/>
      <c r="Z15" s="343"/>
      <c r="AA15" s="338"/>
      <c r="AB15" s="343"/>
      <c r="AC15" s="338"/>
      <c r="AD15" s="338"/>
      <c r="AE15" s="344"/>
      <c r="AF15" s="344"/>
      <c r="AG15" s="343"/>
      <c r="AH15" s="338"/>
      <c r="AI15" s="344"/>
      <c r="AJ15" s="338"/>
      <c r="AK15" s="338"/>
      <c r="AL15" s="338"/>
      <c r="AM15" s="338"/>
      <c r="AN15" s="344"/>
      <c r="AO15" s="345"/>
      <c r="AP15" s="344"/>
      <c r="AQ15" s="346" t="s">
        <v>761</v>
      </c>
      <c r="AR15" s="341" t="s">
        <v>758</v>
      </c>
      <c r="AS15" s="341"/>
      <c r="AT15" s="341"/>
      <c r="AU15" s="341"/>
      <c r="AV15" s="341">
        <v>4</v>
      </c>
      <c r="AW15" s="341"/>
      <c r="AX15" s="341"/>
      <c r="AY15" s="341"/>
      <c r="AZ15" s="341" t="s">
        <v>758</v>
      </c>
      <c r="BA15" s="338"/>
      <c r="BB15" s="341">
        <v>0</v>
      </c>
      <c r="BC15" s="341">
        <v>0</v>
      </c>
      <c r="BD15" s="341">
        <v>0</v>
      </c>
      <c r="BE15" s="341">
        <v>0</v>
      </c>
      <c r="BF15" s="341">
        <v>0</v>
      </c>
      <c r="BG15" s="341">
        <v>0</v>
      </c>
      <c r="BH15" s="341">
        <v>0</v>
      </c>
      <c r="BI15" s="341">
        <v>0</v>
      </c>
      <c r="BJ15" s="341">
        <v>0</v>
      </c>
      <c r="BK15" s="341">
        <v>0</v>
      </c>
      <c r="BL15" s="341"/>
      <c r="BM15" s="341"/>
      <c r="BN15" s="341">
        <v>12</v>
      </c>
      <c r="BO15" s="341" t="s">
        <v>758</v>
      </c>
      <c r="BP15" s="347"/>
      <c r="BQ15" s="341"/>
      <c r="BR15" s="341"/>
      <c r="BS15" s="338"/>
      <c r="BT15" s="338"/>
      <c r="BU15" s="341"/>
      <c r="BV15" s="341" t="s">
        <v>758</v>
      </c>
      <c r="BW15" s="341"/>
      <c r="BX15" s="338"/>
      <c r="BY15" s="338" t="s">
        <v>788</v>
      </c>
    </row>
    <row r="16" spans="1:77" x14ac:dyDescent="0.15">
      <c r="A16" s="338">
        <v>512</v>
      </c>
      <c r="B16" s="339">
        <v>43200</v>
      </c>
      <c r="C16" s="340" t="s">
        <v>755</v>
      </c>
      <c r="D16" s="338" t="s">
        <v>454</v>
      </c>
      <c r="E16" s="338"/>
      <c r="F16" s="338" t="s">
        <v>756</v>
      </c>
      <c r="G16" s="339">
        <v>42916</v>
      </c>
      <c r="H16" s="341" t="s">
        <v>175</v>
      </c>
      <c r="I16" s="341" t="s">
        <v>174</v>
      </c>
      <c r="J16" s="341">
        <v>16</v>
      </c>
      <c r="K16" s="338" t="s">
        <v>676</v>
      </c>
      <c r="L16" s="338" t="s">
        <v>789</v>
      </c>
      <c r="M16" s="342">
        <v>70.999999999999986</v>
      </c>
      <c r="N16" s="342">
        <v>35.199999999999996</v>
      </c>
      <c r="O16" s="338"/>
      <c r="P16" s="343"/>
      <c r="Q16" s="344"/>
      <c r="R16" s="343"/>
      <c r="S16" s="344"/>
      <c r="T16" s="343"/>
      <c r="U16" s="338"/>
      <c r="V16" s="344"/>
      <c r="W16" s="344"/>
      <c r="X16" s="338"/>
      <c r="Y16" s="338"/>
      <c r="Z16" s="338"/>
      <c r="AA16" s="338"/>
      <c r="AB16" s="338"/>
      <c r="AC16" s="338"/>
      <c r="AD16" s="338"/>
      <c r="AE16" s="344"/>
      <c r="AF16" s="344"/>
      <c r="AG16" s="343"/>
      <c r="AH16" s="338"/>
      <c r="AI16" s="344"/>
      <c r="AJ16" s="338"/>
      <c r="AK16" s="338"/>
      <c r="AL16" s="338"/>
      <c r="AM16" s="338"/>
      <c r="AN16" s="344"/>
      <c r="AO16" s="345"/>
      <c r="AP16" s="344"/>
      <c r="AQ16" s="346" t="s">
        <v>761</v>
      </c>
      <c r="AR16" s="341" t="s">
        <v>758</v>
      </c>
      <c r="AS16" s="341"/>
      <c r="AT16" s="341"/>
      <c r="AU16" s="341"/>
      <c r="AV16" s="341">
        <v>6</v>
      </c>
      <c r="AW16" s="341"/>
      <c r="AX16" s="341"/>
      <c r="AY16" s="341"/>
      <c r="AZ16" s="341" t="s">
        <v>762</v>
      </c>
      <c r="BA16" s="338"/>
      <c r="BB16" s="341">
        <v>0</v>
      </c>
      <c r="BC16" s="341">
        <v>15</v>
      </c>
      <c r="BD16" s="341">
        <v>0</v>
      </c>
      <c r="BE16" s="341">
        <v>0</v>
      </c>
      <c r="BF16" s="341">
        <v>0</v>
      </c>
      <c r="BG16" s="341">
        <v>0</v>
      </c>
      <c r="BH16" s="341">
        <v>0</v>
      </c>
      <c r="BI16" s="341">
        <v>0</v>
      </c>
      <c r="BJ16" s="341">
        <v>0</v>
      </c>
      <c r="BK16" s="341">
        <v>0</v>
      </c>
      <c r="BL16" s="341"/>
      <c r="BM16" s="341"/>
      <c r="BN16" s="341"/>
      <c r="BO16" s="341" t="s">
        <v>758</v>
      </c>
      <c r="BP16" s="347"/>
      <c r="BQ16" s="341"/>
      <c r="BR16" s="341"/>
      <c r="BS16" s="338"/>
      <c r="BT16" s="338"/>
      <c r="BU16" s="341"/>
      <c r="BV16" s="341" t="s">
        <v>758</v>
      </c>
      <c r="BW16" s="341"/>
      <c r="BX16" s="338" t="s">
        <v>790</v>
      </c>
      <c r="BY16" s="338" t="s">
        <v>747</v>
      </c>
    </row>
    <row r="17" spans="1:77" x14ac:dyDescent="0.15">
      <c r="A17" s="338">
        <v>1566</v>
      </c>
      <c r="B17" s="339">
        <v>43200</v>
      </c>
      <c r="C17" s="340" t="s">
        <v>755</v>
      </c>
      <c r="D17" s="338" t="s">
        <v>454</v>
      </c>
      <c r="E17" s="338"/>
      <c r="F17" s="338" t="s">
        <v>756</v>
      </c>
      <c r="G17" s="339">
        <v>43148</v>
      </c>
      <c r="H17" s="341" t="s">
        <v>757</v>
      </c>
      <c r="I17" s="341" t="s">
        <v>758</v>
      </c>
      <c r="J17" s="341">
        <v>17</v>
      </c>
      <c r="K17" s="338" t="s">
        <v>691</v>
      </c>
      <c r="L17" s="338" t="s">
        <v>791</v>
      </c>
      <c r="M17" s="342">
        <v>73.099999999999994</v>
      </c>
      <c r="N17" s="342">
        <v>27.554545454545451</v>
      </c>
      <c r="O17" s="338"/>
      <c r="P17" s="343"/>
      <c r="Q17" s="344"/>
      <c r="R17" s="343"/>
      <c r="S17" s="344"/>
      <c r="T17" s="343"/>
      <c r="U17" s="338"/>
      <c r="V17" s="344"/>
      <c r="W17" s="344"/>
      <c r="X17" s="338"/>
      <c r="Y17" s="338"/>
      <c r="Z17" s="338"/>
      <c r="AA17" s="338"/>
      <c r="AB17" s="338"/>
      <c r="AC17" s="338"/>
      <c r="AD17" s="338"/>
      <c r="AE17" s="344"/>
      <c r="AF17" s="344"/>
      <c r="AG17" s="338"/>
      <c r="AH17" s="338"/>
      <c r="AI17" s="344"/>
      <c r="AJ17" s="338"/>
      <c r="AK17" s="338"/>
      <c r="AL17" s="338"/>
      <c r="AM17" s="338"/>
      <c r="AN17" s="344"/>
      <c r="AO17" s="345"/>
      <c r="AP17" s="344"/>
      <c r="AQ17" s="338" t="s">
        <v>761</v>
      </c>
      <c r="AR17" s="341" t="s">
        <v>758</v>
      </c>
      <c r="AS17" s="341"/>
      <c r="AT17" s="341"/>
      <c r="AU17" s="341"/>
      <c r="AV17" s="341">
        <v>3</v>
      </c>
      <c r="AW17" s="341"/>
      <c r="AX17" s="341"/>
      <c r="AY17" s="341"/>
      <c r="AZ17" s="341" t="s">
        <v>762</v>
      </c>
      <c r="BA17" s="338"/>
      <c r="BB17" s="341">
        <v>0</v>
      </c>
      <c r="BC17" s="341">
        <v>0</v>
      </c>
      <c r="BD17" s="341">
        <v>0</v>
      </c>
      <c r="BE17" s="341">
        <v>0</v>
      </c>
      <c r="BF17" s="341">
        <v>0</v>
      </c>
      <c r="BG17" s="341">
        <v>0</v>
      </c>
      <c r="BH17" s="341">
        <v>0</v>
      </c>
      <c r="BI17" s="341">
        <v>0</v>
      </c>
      <c r="BJ17" s="341">
        <v>0</v>
      </c>
      <c r="BK17" s="341">
        <v>0</v>
      </c>
      <c r="BL17" s="341"/>
      <c r="BM17" s="341"/>
      <c r="BN17" s="341"/>
      <c r="BO17" s="341" t="s">
        <v>758</v>
      </c>
      <c r="BP17" s="347"/>
      <c r="BQ17" s="341"/>
      <c r="BR17" s="341"/>
      <c r="BS17" s="352"/>
      <c r="BT17" s="352"/>
      <c r="BU17" s="341"/>
      <c r="BV17" s="341" t="s">
        <v>758</v>
      </c>
      <c r="BW17" s="341">
        <v>1</v>
      </c>
      <c r="BX17" s="338" t="s">
        <v>792</v>
      </c>
      <c r="BY17" s="338" t="s">
        <v>793</v>
      </c>
    </row>
    <row r="18" spans="1:77" x14ac:dyDescent="0.15">
      <c r="A18" s="338">
        <v>361</v>
      </c>
      <c r="B18" s="339">
        <v>43200</v>
      </c>
      <c r="C18" s="340" t="s">
        <v>755</v>
      </c>
      <c r="D18" s="338" t="s">
        <v>454</v>
      </c>
      <c r="E18" s="338"/>
      <c r="F18" s="338" t="s">
        <v>756</v>
      </c>
      <c r="G18" s="349">
        <v>42941</v>
      </c>
      <c r="H18" s="341" t="s">
        <v>175</v>
      </c>
      <c r="I18" s="341" t="s">
        <v>174</v>
      </c>
      <c r="J18" s="341">
        <v>18</v>
      </c>
      <c r="K18" s="338" t="s">
        <v>794</v>
      </c>
      <c r="L18" s="338" t="s">
        <v>734</v>
      </c>
      <c r="M18" s="342">
        <v>75</v>
      </c>
      <c r="N18" s="342">
        <v>30.881818181818179</v>
      </c>
      <c r="O18" s="338"/>
      <c r="P18" s="343"/>
      <c r="Q18" s="344"/>
      <c r="R18" s="343"/>
      <c r="S18" s="344"/>
      <c r="T18" s="343"/>
      <c r="U18" s="338"/>
      <c r="V18" s="344"/>
      <c r="W18" s="344"/>
      <c r="X18" s="338"/>
      <c r="Y18" s="338"/>
      <c r="Z18" s="338"/>
      <c r="AA18" s="338"/>
      <c r="AB18" s="338"/>
      <c r="AC18" s="338"/>
      <c r="AD18" s="338"/>
      <c r="AE18" s="344"/>
      <c r="AF18" s="344"/>
      <c r="AG18" s="343"/>
      <c r="AH18" s="338"/>
      <c r="AI18" s="344"/>
      <c r="AJ18" s="338"/>
      <c r="AK18" s="338"/>
      <c r="AL18" s="338"/>
      <c r="AM18" s="338"/>
      <c r="AN18" s="344"/>
      <c r="AO18" s="345"/>
      <c r="AP18" s="344"/>
      <c r="AQ18" s="346" t="s">
        <v>761</v>
      </c>
      <c r="AR18" s="341" t="s">
        <v>758</v>
      </c>
      <c r="AS18" s="341"/>
      <c r="AT18" s="341"/>
      <c r="AU18" s="341"/>
      <c r="AV18" s="341"/>
      <c r="AW18" s="341"/>
      <c r="AX18" s="341"/>
      <c r="AY18" s="341"/>
      <c r="AZ18" s="341" t="s">
        <v>758</v>
      </c>
      <c r="BA18" s="338"/>
      <c r="BB18" s="341">
        <v>0</v>
      </c>
      <c r="BC18" s="341">
        <v>5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  <c r="BK18" s="341">
        <v>0</v>
      </c>
      <c r="BL18" s="341"/>
      <c r="BM18" s="341"/>
      <c r="BN18" s="341"/>
      <c r="BO18" s="341" t="s">
        <v>758</v>
      </c>
      <c r="BP18" s="347"/>
      <c r="BQ18" s="341"/>
      <c r="BR18" s="341"/>
      <c r="BS18" s="338"/>
      <c r="BT18" s="338"/>
      <c r="BU18" s="341"/>
      <c r="BV18" s="341" t="s">
        <v>758</v>
      </c>
      <c r="BW18" s="341"/>
      <c r="BX18" s="338"/>
      <c r="BY18" s="338" t="s">
        <v>749</v>
      </c>
    </row>
    <row r="19" spans="1:77" x14ac:dyDescent="0.15">
      <c r="A19" s="338">
        <v>18</v>
      </c>
      <c r="B19" s="339">
        <v>43200</v>
      </c>
      <c r="C19" s="340" t="s">
        <v>755</v>
      </c>
      <c r="D19" s="338" t="s">
        <v>454</v>
      </c>
      <c r="E19" s="338"/>
      <c r="F19" s="338" t="s">
        <v>756</v>
      </c>
      <c r="G19" s="339">
        <v>42916</v>
      </c>
      <c r="H19" s="341" t="s">
        <v>757</v>
      </c>
      <c r="I19" s="341" t="s">
        <v>758</v>
      </c>
      <c r="J19" s="341">
        <v>19</v>
      </c>
      <c r="K19" s="338" t="s">
        <v>708</v>
      </c>
      <c r="L19" s="338" t="s">
        <v>709</v>
      </c>
      <c r="M19" s="342">
        <v>87.954545454545453</v>
      </c>
      <c r="N19" s="342">
        <v>34.881818181818176</v>
      </c>
      <c r="O19" s="338"/>
      <c r="P19" s="343"/>
      <c r="Q19" s="344"/>
      <c r="R19" s="343"/>
      <c r="S19" s="344"/>
      <c r="T19" s="343"/>
      <c r="U19" s="338"/>
      <c r="V19" s="344"/>
      <c r="W19" s="344"/>
      <c r="X19" s="338"/>
      <c r="Y19" s="338"/>
      <c r="Z19" s="338"/>
      <c r="AA19" s="338"/>
      <c r="AB19" s="343"/>
      <c r="AC19" s="338"/>
      <c r="AD19" s="338"/>
      <c r="AE19" s="344"/>
      <c r="AF19" s="344"/>
      <c r="AG19" s="343"/>
      <c r="AH19" s="338"/>
      <c r="AI19" s="344"/>
      <c r="AJ19" s="338"/>
      <c r="AK19" s="338"/>
      <c r="AL19" s="338"/>
      <c r="AM19" s="338"/>
      <c r="AN19" s="344"/>
      <c r="AO19" s="345"/>
      <c r="AP19" s="344"/>
      <c r="AQ19" s="346" t="s">
        <v>761</v>
      </c>
      <c r="AR19" s="341" t="s">
        <v>174</v>
      </c>
      <c r="AS19" s="341"/>
      <c r="AT19" s="341"/>
      <c r="AU19" s="341"/>
      <c r="AV19" s="341">
        <v>8</v>
      </c>
      <c r="AW19" s="341"/>
      <c r="AX19" s="341"/>
      <c r="AY19" s="341"/>
      <c r="AZ19" s="341" t="s">
        <v>174</v>
      </c>
      <c r="BA19" s="338"/>
      <c r="BB19" s="341">
        <v>4</v>
      </c>
      <c r="BC19" s="341">
        <v>0</v>
      </c>
      <c r="BD19" s="341">
        <v>10</v>
      </c>
      <c r="BE19" s="341">
        <v>0</v>
      </c>
      <c r="BF19" s="341">
        <v>0</v>
      </c>
      <c r="BG19" s="341">
        <v>0</v>
      </c>
      <c r="BH19" s="341">
        <v>0</v>
      </c>
      <c r="BI19" s="341">
        <v>0</v>
      </c>
      <c r="BJ19" s="341">
        <v>0</v>
      </c>
      <c r="BK19" s="341">
        <v>0</v>
      </c>
      <c r="BL19" s="341"/>
      <c r="BM19" s="341"/>
      <c r="BN19" s="341"/>
      <c r="BO19" s="341" t="s">
        <v>758</v>
      </c>
      <c r="BP19" s="347"/>
      <c r="BQ19" s="341"/>
      <c r="BR19" s="341"/>
      <c r="BS19" s="352"/>
      <c r="BT19" s="352"/>
      <c r="BU19" s="341"/>
      <c r="BV19" s="341" t="s">
        <v>758</v>
      </c>
      <c r="BW19" s="341">
        <v>1</v>
      </c>
      <c r="BX19" s="338"/>
      <c r="BY19" s="338" t="s">
        <v>743</v>
      </c>
    </row>
    <row r="20" spans="1:77" x14ac:dyDescent="0.15">
      <c r="A20" s="338">
        <v>952</v>
      </c>
      <c r="B20" s="339">
        <v>43200</v>
      </c>
      <c r="C20" s="340" t="s">
        <v>755</v>
      </c>
      <c r="D20" s="338" t="s">
        <v>454</v>
      </c>
      <c r="E20" s="338"/>
      <c r="F20" s="338" t="s">
        <v>756</v>
      </c>
      <c r="G20" s="339">
        <v>43006</v>
      </c>
      <c r="H20" s="341" t="s">
        <v>757</v>
      </c>
      <c r="I20" s="341" t="s">
        <v>758</v>
      </c>
      <c r="J20" s="341">
        <v>20</v>
      </c>
      <c r="K20" s="338" t="s">
        <v>795</v>
      </c>
      <c r="L20" s="338" t="s">
        <v>724</v>
      </c>
      <c r="M20" s="342">
        <v>89.999999999999986</v>
      </c>
      <c r="N20" s="342">
        <v>26.36363636363636</v>
      </c>
      <c r="O20" s="338"/>
      <c r="P20" s="343"/>
      <c r="Q20" s="344"/>
      <c r="R20" s="343"/>
      <c r="S20" s="344"/>
      <c r="T20" s="343"/>
      <c r="U20" s="338"/>
      <c r="V20" s="344"/>
      <c r="W20" s="344"/>
      <c r="X20" s="343"/>
      <c r="Y20" s="338"/>
      <c r="Z20" s="343"/>
      <c r="AA20" s="338"/>
      <c r="AB20" s="343"/>
      <c r="AC20" s="338"/>
      <c r="AD20" s="338"/>
      <c r="AE20" s="344"/>
      <c r="AF20" s="344"/>
      <c r="AG20" s="343"/>
      <c r="AH20" s="338"/>
      <c r="AI20" s="344"/>
      <c r="AJ20" s="338"/>
      <c r="AK20" s="338"/>
      <c r="AL20" s="338"/>
      <c r="AM20" s="338"/>
      <c r="AN20" s="344"/>
      <c r="AO20" s="345"/>
      <c r="AP20" s="344"/>
      <c r="AQ20" s="338" t="s">
        <v>761</v>
      </c>
      <c r="AR20" s="341" t="s">
        <v>758</v>
      </c>
      <c r="AS20" s="341"/>
      <c r="AT20" s="341"/>
      <c r="AU20" s="341"/>
      <c r="AV20" s="341">
        <v>7</v>
      </c>
      <c r="AW20" s="341"/>
      <c r="AX20" s="341"/>
      <c r="AY20" s="341"/>
      <c r="AZ20" s="341" t="s">
        <v>174</v>
      </c>
      <c r="BA20" s="338"/>
      <c r="BB20" s="341">
        <v>0</v>
      </c>
      <c r="BC20" s="341">
        <v>0</v>
      </c>
      <c r="BD20" s="341">
        <v>0</v>
      </c>
      <c r="BE20" s="341">
        <v>0</v>
      </c>
      <c r="BF20" s="341">
        <v>0</v>
      </c>
      <c r="BG20" s="341">
        <v>0</v>
      </c>
      <c r="BH20" s="341">
        <v>0</v>
      </c>
      <c r="BI20" s="341">
        <v>0</v>
      </c>
      <c r="BJ20" s="341">
        <v>0</v>
      </c>
      <c r="BK20" s="341">
        <v>0</v>
      </c>
      <c r="BL20" s="341"/>
      <c r="BM20" s="341"/>
      <c r="BN20" s="341"/>
      <c r="BO20" s="341" t="s">
        <v>758</v>
      </c>
      <c r="BP20" s="347"/>
      <c r="BQ20" s="341"/>
      <c r="BR20" s="341"/>
      <c r="BS20" s="338"/>
      <c r="BT20" s="338"/>
      <c r="BU20" s="341"/>
      <c r="BV20" s="341" t="s">
        <v>758</v>
      </c>
      <c r="BW20" s="341">
        <v>1</v>
      </c>
      <c r="BX20" s="338"/>
      <c r="BY20" s="338" t="s">
        <v>725</v>
      </c>
    </row>
    <row r="21" spans="1:77" x14ac:dyDescent="0.15">
      <c r="A21" s="338">
        <v>1917</v>
      </c>
      <c r="B21" s="339">
        <v>43200</v>
      </c>
      <c r="C21" s="340" t="s">
        <v>755</v>
      </c>
      <c r="D21" s="338" t="s">
        <v>454</v>
      </c>
      <c r="E21" s="338"/>
      <c r="F21" s="338" t="s">
        <v>756</v>
      </c>
      <c r="G21" s="349">
        <v>43186</v>
      </c>
      <c r="H21" s="341" t="s">
        <v>757</v>
      </c>
      <c r="I21" s="341" t="s">
        <v>758</v>
      </c>
      <c r="J21" s="341">
        <v>21</v>
      </c>
      <c r="K21" s="338" t="s">
        <v>796</v>
      </c>
      <c r="L21" s="338" t="s">
        <v>797</v>
      </c>
      <c r="M21" s="342">
        <v>80</v>
      </c>
      <c r="N21" s="342">
        <v>29.299999999999994</v>
      </c>
      <c r="O21" s="338"/>
      <c r="P21" s="343"/>
      <c r="Q21" s="344"/>
      <c r="R21" s="343"/>
      <c r="S21" s="344"/>
      <c r="T21" s="343"/>
      <c r="U21" s="338"/>
      <c r="V21" s="344"/>
      <c r="W21" s="344"/>
      <c r="X21" s="338"/>
      <c r="Y21" s="338"/>
      <c r="Z21" s="338"/>
      <c r="AA21" s="338"/>
      <c r="AB21" s="338"/>
      <c r="AC21" s="338"/>
      <c r="AD21" s="338"/>
      <c r="AE21" s="344"/>
      <c r="AF21" s="344"/>
      <c r="AG21" s="338"/>
      <c r="AH21" s="338"/>
      <c r="AI21" s="344"/>
      <c r="AJ21" s="338"/>
      <c r="AK21" s="338"/>
      <c r="AL21" s="338"/>
      <c r="AM21" s="338"/>
      <c r="AN21" s="344"/>
      <c r="AO21" s="345"/>
      <c r="AP21" s="344"/>
      <c r="AQ21" s="338" t="s">
        <v>761</v>
      </c>
      <c r="AR21" s="341" t="s">
        <v>758</v>
      </c>
      <c r="AS21" s="341"/>
      <c r="AT21" s="341"/>
      <c r="AU21" s="341"/>
      <c r="AV21" s="341">
        <v>8</v>
      </c>
      <c r="AW21" s="341"/>
      <c r="AX21" s="341"/>
      <c r="AY21" s="341"/>
      <c r="AZ21" s="341" t="s">
        <v>758</v>
      </c>
      <c r="BA21" s="338"/>
      <c r="BB21" s="341">
        <v>0</v>
      </c>
      <c r="BC21" s="341">
        <v>0</v>
      </c>
      <c r="BD21" s="341">
        <v>0</v>
      </c>
      <c r="BE21" s="341">
        <v>0</v>
      </c>
      <c r="BF21" s="341">
        <v>0</v>
      </c>
      <c r="BG21" s="341">
        <v>0</v>
      </c>
      <c r="BH21" s="341">
        <v>0</v>
      </c>
      <c r="BI21" s="341">
        <v>0</v>
      </c>
      <c r="BJ21" s="341">
        <v>0</v>
      </c>
      <c r="BK21" s="341">
        <v>0</v>
      </c>
      <c r="BL21" s="341"/>
      <c r="BM21" s="341"/>
      <c r="BN21" s="341"/>
      <c r="BO21" s="341" t="s">
        <v>758</v>
      </c>
      <c r="BP21" s="347"/>
      <c r="BQ21" s="341"/>
      <c r="BR21" s="341"/>
      <c r="BS21" s="352"/>
      <c r="BT21" s="352"/>
      <c r="BU21" s="341"/>
      <c r="BV21" s="341" t="s">
        <v>758</v>
      </c>
      <c r="BW21" s="341">
        <v>1</v>
      </c>
      <c r="BX21" s="338"/>
      <c r="BY21" s="338" t="s">
        <v>798</v>
      </c>
    </row>
    <row r="22" spans="1:77" x14ac:dyDescent="0.15">
      <c r="A22" s="338">
        <v>1908</v>
      </c>
      <c r="B22" s="339">
        <v>43200</v>
      </c>
      <c r="C22" s="340" t="s">
        <v>755</v>
      </c>
      <c r="D22" s="338" t="s">
        <v>454</v>
      </c>
      <c r="E22" s="338"/>
      <c r="F22" s="338" t="s">
        <v>756</v>
      </c>
      <c r="G22" s="339">
        <v>43200</v>
      </c>
      <c r="H22" s="341" t="s">
        <v>757</v>
      </c>
      <c r="I22" s="341" t="s">
        <v>758</v>
      </c>
      <c r="J22" s="341">
        <v>22</v>
      </c>
      <c r="K22" s="338" t="s">
        <v>799</v>
      </c>
      <c r="L22" s="338" t="s">
        <v>800</v>
      </c>
      <c r="M22" s="342">
        <v>98.427272727272722</v>
      </c>
      <c r="N22" s="342">
        <v>33.9</v>
      </c>
      <c r="O22" s="338"/>
      <c r="P22" s="344"/>
      <c r="Q22" s="338"/>
      <c r="R22" s="344"/>
      <c r="S22" s="338"/>
      <c r="T22" s="338"/>
      <c r="U22" s="344"/>
      <c r="V22" s="344"/>
      <c r="W22" s="338"/>
      <c r="X22" s="338"/>
      <c r="Y22" s="338"/>
      <c r="Z22" s="338"/>
      <c r="AA22" s="338"/>
      <c r="AB22" s="338"/>
      <c r="AC22" s="338"/>
      <c r="AD22" s="344"/>
      <c r="AE22" s="344"/>
      <c r="AF22" s="338"/>
      <c r="AG22" s="338"/>
      <c r="AH22" s="344"/>
      <c r="AI22" s="338"/>
      <c r="AJ22" s="338"/>
      <c r="AK22" s="338"/>
      <c r="AL22" s="338"/>
      <c r="AM22" s="338"/>
      <c r="AN22" s="345"/>
      <c r="AO22" s="344"/>
      <c r="AP22" s="356"/>
      <c r="AQ22" s="346" t="s">
        <v>761</v>
      </c>
      <c r="AR22" s="341" t="s">
        <v>758</v>
      </c>
      <c r="AS22" s="341"/>
      <c r="AT22" s="341"/>
      <c r="AU22" s="341"/>
      <c r="AV22" s="341"/>
      <c r="AW22" s="341"/>
      <c r="AX22" s="341"/>
      <c r="AY22" s="341"/>
      <c r="AZ22" s="341" t="s">
        <v>175</v>
      </c>
      <c r="BA22" s="338"/>
      <c r="BB22" s="341">
        <v>0</v>
      </c>
      <c r="BC22" s="341">
        <v>0</v>
      </c>
      <c r="BD22" s="341">
        <v>0</v>
      </c>
      <c r="BE22" s="341">
        <v>0</v>
      </c>
      <c r="BF22" s="341">
        <v>0</v>
      </c>
      <c r="BG22" s="341">
        <v>0</v>
      </c>
      <c r="BH22" s="341">
        <v>0</v>
      </c>
      <c r="BI22" s="341">
        <v>0</v>
      </c>
      <c r="BJ22" s="341">
        <v>0</v>
      </c>
      <c r="BK22" s="341">
        <v>0</v>
      </c>
      <c r="BL22" s="341"/>
      <c r="BM22" s="341"/>
      <c r="BN22" s="341"/>
      <c r="BO22" s="341" t="s">
        <v>758</v>
      </c>
      <c r="BP22" s="354">
        <v>163.63636363636363</v>
      </c>
      <c r="BQ22" s="341"/>
      <c r="BR22" s="341"/>
      <c r="BS22" s="352"/>
      <c r="BT22" s="352"/>
      <c r="BU22" s="341"/>
      <c r="BV22" s="341" t="s">
        <v>758</v>
      </c>
      <c r="BW22" s="341">
        <v>1</v>
      </c>
      <c r="BX22" s="338"/>
      <c r="BY22" s="353" t="s">
        <v>801</v>
      </c>
    </row>
    <row r="23" spans="1:77" x14ac:dyDescent="0.15">
      <c r="A23" s="338">
        <v>279</v>
      </c>
      <c r="B23" s="339">
        <v>43200</v>
      </c>
      <c r="C23" s="340" t="s">
        <v>755</v>
      </c>
      <c r="D23" s="338" t="s">
        <v>454</v>
      </c>
      <c r="E23" s="338"/>
      <c r="F23" s="338" t="s">
        <v>756</v>
      </c>
      <c r="G23" s="349">
        <v>43026</v>
      </c>
      <c r="H23" s="341" t="s">
        <v>175</v>
      </c>
      <c r="I23" s="341" t="s">
        <v>174</v>
      </c>
      <c r="J23" s="341">
        <v>23</v>
      </c>
      <c r="K23" s="338" t="s">
        <v>802</v>
      </c>
      <c r="L23" s="338" t="s">
        <v>803</v>
      </c>
      <c r="M23" s="342">
        <v>95.645454545454527</v>
      </c>
      <c r="N23" s="342">
        <v>29.936363636363634</v>
      </c>
      <c r="O23" s="338"/>
      <c r="P23" s="343"/>
      <c r="Q23" s="344"/>
      <c r="R23" s="343"/>
      <c r="S23" s="344"/>
      <c r="T23" s="343"/>
      <c r="U23" s="338"/>
      <c r="V23" s="344"/>
      <c r="W23" s="344"/>
      <c r="X23" s="338"/>
      <c r="Y23" s="338"/>
      <c r="Z23" s="338"/>
      <c r="AA23" s="338"/>
      <c r="AB23" s="338"/>
      <c r="AC23" s="338"/>
      <c r="AD23" s="338"/>
      <c r="AE23" s="344"/>
      <c r="AF23" s="344"/>
      <c r="AG23" s="343"/>
      <c r="AH23" s="338"/>
      <c r="AI23" s="344"/>
      <c r="AJ23" s="338"/>
      <c r="AK23" s="338"/>
      <c r="AL23" s="338"/>
      <c r="AM23" s="338"/>
      <c r="AN23" s="344"/>
      <c r="AO23" s="345"/>
      <c r="AP23" s="344"/>
      <c r="AQ23" s="338" t="s">
        <v>761</v>
      </c>
      <c r="AR23" s="341" t="s">
        <v>758</v>
      </c>
      <c r="AS23" s="341"/>
      <c r="AT23" s="341"/>
      <c r="AU23" s="341"/>
      <c r="AV23" s="341">
        <v>7</v>
      </c>
      <c r="AW23" s="341"/>
      <c r="AX23" s="341"/>
      <c r="AY23" s="341"/>
      <c r="AZ23" s="341" t="s">
        <v>758</v>
      </c>
      <c r="BA23" s="338"/>
      <c r="BB23" s="341">
        <v>0</v>
      </c>
      <c r="BC23" s="341">
        <v>0</v>
      </c>
      <c r="BD23" s="341">
        <v>0</v>
      </c>
      <c r="BE23" s="341">
        <v>0</v>
      </c>
      <c r="BF23" s="341">
        <v>0</v>
      </c>
      <c r="BG23" s="341">
        <v>0</v>
      </c>
      <c r="BH23" s="341">
        <v>0</v>
      </c>
      <c r="BI23" s="341">
        <v>0</v>
      </c>
      <c r="BJ23" s="341">
        <v>0</v>
      </c>
      <c r="BK23" s="341">
        <v>0</v>
      </c>
      <c r="BL23" s="341"/>
      <c r="BM23" s="341"/>
      <c r="BN23" s="341"/>
      <c r="BO23" s="341" t="s">
        <v>758</v>
      </c>
      <c r="BP23" s="354">
        <v>141.81818181818181</v>
      </c>
      <c r="BQ23" s="341"/>
      <c r="BR23" s="341"/>
      <c r="BS23" s="338"/>
      <c r="BT23" s="338"/>
      <c r="BU23" s="341"/>
      <c r="BV23" s="341" t="s">
        <v>758</v>
      </c>
      <c r="BW23" s="341">
        <v>1</v>
      </c>
      <c r="BX23" s="338"/>
      <c r="BY23" s="338" t="s">
        <v>804</v>
      </c>
    </row>
    <row r="24" spans="1:77" x14ac:dyDescent="0.15">
      <c r="A24" s="338">
        <v>1241</v>
      </c>
      <c r="B24" s="339">
        <v>43200</v>
      </c>
      <c r="C24" s="340" t="s">
        <v>755</v>
      </c>
      <c r="D24" s="338" t="s">
        <v>454</v>
      </c>
      <c r="E24" s="338"/>
      <c r="F24" s="338" t="s">
        <v>756</v>
      </c>
      <c r="G24" s="339">
        <v>43117</v>
      </c>
      <c r="H24" s="341" t="s">
        <v>757</v>
      </c>
      <c r="I24" s="341" t="s">
        <v>758</v>
      </c>
      <c r="J24" s="341">
        <v>24</v>
      </c>
      <c r="K24" s="338" t="s">
        <v>805</v>
      </c>
      <c r="L24" s="338" t="s">
        <v>806</v>
      </c>
      <c r="M24" s="342">
        <v>83.6</v>
      </c>
      <c r="N24" s="342">
        <v>29.999999999999996</v>
      </c>
      <c r="O24" s="338"/>
      <c r="P24" s="343"/>
      <c r="Q24" s="344"/>
      <c r="R24" s="343"/>
      <c r="S24" s="344"/>
      <c r="T24" s="343"/>
      <c r="U24" s="338"/>
      <c r="V24" s="344"/>
      <c r="W24" s="344"/>
      <c r="X24" s="343"/>
      <c r="Y24" s="338"/>
      <c r="Z24" s="343"/>
      <c r="AA24" s="338"/>
      <c r="AB24" s="343"/>
      <c r="AC24" s="338"/>
      <c r="AD24" s="338"/>
      <c r="AE24" s="344"/>
      <c r="AF24" s="344"/>
      <c r="AG24" s="343"/>
      <c r="AH24" s="338"/>
      <c r="AI24" s="344"/>
      <c r="AJ24" s="338"/>
      <c r="AK24" s="338"/>
      <c r="AL24" s="338"/>
      <c r="AM24" s="338"/>
      <c r="AN24" s="344"/>
      <c r="AO24" s="345"/>
      <c r="AP24" s="344"/>
      <c r="AQ24" s="346" t="s">
        <v>761</v>
      </c>
      <c r="AR24" s="341" t="s">
        <v>758</v>
      </c>
      <c r="AS24" s="341"/>
      <c r="AT24" s="341"/>
      <c r="AU24" s="341"/>
      <c r="AV24" s="341">
        <v>7</v>
      </c>
      <c r="AW24" s="341"/>
      <c r="AX24" s="341"/>
      <c r="AY24" s="341"/>
      <c r="AZ24" s="341" t="s">
        <v>758</v>
      </c>
      <c r="BA24" s="338"/>
      <c r="BB24" s="341">
        <v>0</v>
      </c>
      <c r="BC24" s="341">
        <v>0</v>
      </c>
      <c r="BD24" s="341">
        <v>0</v>
      </c>
      <c r="BE24" s="341">
        <v>0</v>
      </c>
      <c r="BF24" s="341">
        <v>0</v>
      </c>
      <c r="BG24" s="341">
        <v>0</v>
      </c>
      <c r="BH24" s="341">
        <v>0</v>
      </c>
      <c r="BI24" s="341">
        <v>0</v>
      </c>
      <c r="BJ24" s="341">
        <v>0</v>
      </c>
      <c r="BK24" s="341">
        <v>0</v>
      </c>
      <c r="BL24" s="341"/>
      <c r="BM24" s="341"/>
      <c r="BN24" s="341"/>
      <c r="BO24" s="341" t="s">
        <v>758</v>
      </c>
      <c r="BP24" s="347"/>
      <c r="BQ24" s="341"/>
      <c r="BR24" s="341"/>
      <c r="BS24" s="338"/>
      <c r="BT24" s="338"/>
      <c r="BU24" s="341"/>
      <c r="BV24" s="341" t="s">
        <v>758</v>
      </c>
      <c r="BW24" s="341"/>
      <c r="BX24" s="338"/>
      <c r="BY24" s="338" t="s">
        <v>807</v>
      </c>
    </row>
    <row r="25" spans="1:77" x14ac:dyDescent="0.15">
      <c r="A25" s="338">
        <v>1914</v>
      </c>
      <c r="B25" s="339">
        <v>43200</v>
      </c>
      <c r="C25" s="340" t="s">
        <v>755</v>
      </c>
      <c r="D25" s="338" t="s">
        <v>454</v>
      </c>
      <c r="E25" s="338"/>
      <c r="F25" s="338" t="s">
        <v>808</v>
      </c>
      <c r="G25" s="339">
        <v>43194</v>
      </c>
      <c r="H25" s="341" t="s">
        <v>757</v>
      </c>
      <c r="I25" s="341" t="s">
        <v>758</v>
      </c>
      <c r="J25" s="341">
        <v>1</v>
      </c>
      <c r="K25" s="338" t="s">
        <v>759</v>
      </c>
      <c r="L25" s="338" t="s">
        <v>760</v>
      </c>
      <c r="M25" s="342">
        <v>93.936363636363623</v>
      </c>
      <c r="N25" s="342">
        <v>31.872727272727271</v>
      </c>
      <c r="O25" s="338"/>
      <c r="P25" s="343"/>
      <c r="Q25" s="344"/>
      <c r="R25" s="343"/>
      <c r="S25" s="344"/>
      <c r="T25" s="343"/>
      <c r="U25" s="338"/>
      <c r="V25" s="344"/>
      <c r="W25" s="344"/>
      <c r="X25" s="338"/>
      <c r="Y25" s="338"/>
      <c r="Z25" s="338"/>
      <c r="AA25" s="338"/>
      <c r="AB25" s="343"/>
      <c r="AC25" s="338"/>
      <c r="AD25" s="338"/>
      <c r="AE25" s="344"/>
      <c r="AF25" s="342">
        <v>13.618181818181817</v>
      </c>
      <c r="AG25" s="343"/>
      <c r="AH25" s="338"/>
      <c r="AI25" s="344"/>
      <c r="AJ25" s="338"/>
      <c r="AK25" s="338"/>
      <c r="AL25" s="338"/>
      <c r="AM25" s="338"/>
      <c r="AN25" s="344"/>
      <c r="AO25" s="345"/>
      <c r="AP25" s="344"/>
      <c r="AQ25" s="338" t="s">
        <v>809</v>
      </c>
      <c r="AR25" s="341" t="s">
        <v>174</v>
      </c>
      <c r="AS25" s="341"/>
      <c r="AT25" s="341"/>
      <c r="AU25" s="341"/>
      <c r="AV25" s="341">
        <v>5</v>
      </c>
      <c r="AW25" s="341"/>
      <c r="AX25" s="341"/>
      <c r="AY25" s="341"/>
      <c r="AZ25" s="341" t="s">
        <v>762</v>
      </c>
      <c r="BA25" s="338"/>
      <c r="BB25" s="341">
        <v>0</v>
      </c>
      <c r="BC25" s="341">
        <v>0</v>
      </c>
      <c r="BD25" s="341">
        <v>0</v>
      </c>
      <c r="BE25" s="341">
        <v>0</v>
      </c>
      <c r="BF25" s="341">
        <v>0</v>
      </c>
      <c r="BG25" s="341">
        <v>0</v>
      </c>
      <c r="BH25" s="341">
        <v>0</v>
      </c>
      <c r="BI25" s="341">
        <v>0</v>
      </c>
      <c r="BJ25" s="341">
        <v>0</v>
      </c>
      <c r="BK25" s="341">
        <v>0</v>
      </c>
      <c r="BL25" s="341">
        <v>12</v>
      </c>
      <c r="BM25" s="341"/>
      <c r="BN25" s="341">
        <v>12</v>
      </c>
      <c r="BO25" s="341" t="s">
        <v>758</v>
      </c>
      <c r="BP25" s="347"/>
      <c r="BQ25" s="341"/>
      <c r="BR25" s="341"/>
      <c r="BS25" s="338"/>
      <c r="BT25" s="338"/>
      <c r="BU25" s="341"/>
      <c r="BV25" s="341" t="s">
        <v>758</v>
      </c>
      <c r="BW25" s="341"/>
      <c r="BX25" s="338" t="s">
        <v>763</v>
      </c>
      <c r="BY25" s="348" t="s">
        <v>76</v>
      </c>
    </row>
    <row r="26" spans="1:77" x14ac:dyDescent="0.15">
      <c r="A26" s="338">
        <v>206</v>
      </c>
      <c r="B26" s="339">
        <v>43200</v>
      </c>
      <c r="C26" s="340" t="s">
        <v>755</v>
      </c>
      <c r="D26" s="338" t="s">
        <v>454</v>
      </c>
      <c r="E26" s="338"/>
      <c r="F26" s="338" t="s">
        <v>808</v>
      </c>
      <c r="G26" s="349">
        <v>43060</v>
      </c>
      <c r="H26" s="341" t="s">
        <v>175</v>
      </c>
      <c r="I26" s="341" t="s">
        <v>174</v>
      </c>
      <c r="J26" s="341">
        <v>2</v>
      </c>
      <c r="K26" s="338" t="s">
        <v>765</v>
      </c>
      <c r="L26" s="338" t="s">
        <v>766</v>
      </c>
      <c r="M26" s="342">
        <v>85.963636363636354</v>
      </c>
      <c r="N26" s="342">
        <v>27.136363636363637</v>
      </c>
      <c r="O26" s="338"/>
      <c r="P26" s="343"/>
      <c r="Q26" s="344"/>
      <c r="R26" s="343"/>
      <c r="S26" s="344"/>
      <c r="T26" s="343"/>
      <c r="U26" s="338"/>
      <c r="V26" s="344"/>
      <c r="W26" s="344"/>
      <c r="X26" s="338"/>
      <c r="Y26" s="338"/>
      <c r="Z26" s="338"/>
      <c r="AA26" s="338"/>
      <c r="AB26" s="338"/>
      <c r="AC26" s="338"/>
      <c r="AD26" s="338"/>
      <c r="AE26" s="344"/>
      <c r="AF26" s="342">
        <v>15.509090909090906</v>
      </c>
      <c r="AG26" s="343"/>
      <c r="AH26" s="338"/>
      <c r="AI26" s="344"/>
      <c r="AJ26" s="338"/>
      <c r="AK26" s="338"/>
      <c r="AL26" s="338"/>
      <c r="AM26" s="338"/>
      <c r="AN26" s="344"/>
      <c r="AO26" s="345"/>
      <c r="AP26" s="344"/>
      <c r="AQ26" s="338" t="s">
        <v>809</v>
      </c>
      <c r="AR26" s="341" t="s">
        <v>758</v>
      </c>
      <c r="AS26" s="341"/>
      <c r="AT26" s="341"/>
      <c r="AU26" s="341"/>
      <c r="AV26" s="341">
        <v>8</v>
      </c>
      <c r="AW26" s="341"/>
      <c r="AX26" s="341"/>
      <c r="AY26" s="341"/>
      <c r="AZ26" s="341" t="s">
        <v>758</v>
      </c>
      <c r="BA26" s="338"/>
      <c r="BB26" s="341">
        <v>0</v>
      </c>
      <c r="BC26" s="341">
        <v>0</v>
      </c>
      <c r="BD26" s="341">
        <v>0</v>
      </c>
      <c r="BE26" s="341">
        <v>0</v>
      </c>
      <c r="BF26" s="341">
        <v>0</v>
      </c>
      <c r="BG26" s="341">
        <v>0</v>
      </c>
      <c r="BH26" s="341">
        <v>0</v>
      </c>
      <c r="BI26" s="341">
        <v>0</v>
      </c>
      <c r="BJ26" s="341">
        <v>0</v>
      </c>
      <c r="BK26" s="341">
        <v>0</v>
      </c>
      <c r="BL26" s="341"/>
      <c r="BM26" s="341"/>
      <c r="BN26" s="341"/>
      <c r="BO26" s="341" t="s">
        <v>758</v>
      </c>
      <c r="BP26" s="347"/>
      <c r="BQ26" s="341"/>
      <c r="BR26" s="341"/>
      <c r="BS26" s="338"/>
      <c r="BT26" s="338"/>
      <c r="BU26" s="341"/>
      <c r="BV26" s="341" t="s">
        <v>758</v>
      </c>
      <c r="BW26" s="341">
        <v>1</v>
      </c>
      <c r="BX26" s="338"/>
      <c r="BY26" s="346" t="s">
        <v>810</v>
      </c>
    </row>
    <row r="27" spans="1:77" x14ac:dyDescent="0.15">
      <c r="A27" s="338">
        <v>431</v>
      </c>
      <c r="B27" s="339">
        <v>43200</v>
      </c>
      <c r="C27" s="340" t="s">
        <v>755</v>
      </c>
      <c r="D27" s="338" t="s">
        <v>454</v>
      </c>
      <c r="E27" s="338"/>
      <c r="F27" s="338" t="s">
        <v>808</v>
      </c>
      <c r="G27" s="339">
        <v>42948</v>
      </c>
      <c r="H27" s="341" t="s">
        <v>757</v>
      </c>
      <c r="I27" s="341" t="s">
        <v>758</v>
      </c>
      <c r="J27" s="341">
        <v>3</v>
      </c>
      <c r="K27" s="338" t="s">
        <v>768</v>
      </c>
      <c r="L27" s="338" t="s">
        <v>517</v>
      </c>
      <c r="M27" s="342">
        <v>95.499999999999986</v>
      </c>
      <c r="N27" s="342">
        <v>30.154545454545453</v>
      </c>
      <c r="O27" s="24" t="s">
        <v>518</v>
      </c>
      <c r="P27" s="25">
        <v>1000</v>
      </c>
      <c r="Q27" s="342">
        <v>36.75454545454545</v>
      </c>
      <c r="R27" s="343"/>
      <c r="S27" s="344"/>
      <c r="T27" s="343"/>
      <c r="U27" s="338"/>
      <c r="V27" s="344"/>
      <c r="W27" s="344"/>
      <c r="X27" s="338"/>
      <c r="Y27" s="338"/>
      <c r="Z27" s="338"/>
      <c r="AA27" s="338"/>
      <c r="AB27" s="338"/>
      <c r="AC27" s="338"/>
      <c r="AD27" s="338"/>
      <c r="AE27" s="344"/>
      <c r="AF27" s="342">
        <v>17.236363636363635</v>
      </c>
      <c r="AG27" s="343"/>
      <c r="AH27" s="338"/>
      <c r="AI27" s="344"/>
      <c r="AJ27" s="338"/>
      <c r="AK27" s="338"/>
      <c r="AL27" s="338"/>
      <c r="AM27" s="338"/>
      <c r="AN27" s="344"/>
      <c r="AO27" s="345"/>
      <c r="AP27" s="344"/>
      <c r="AQ27" s="346" t="s">
        <v>809</v>
      </c>
      <c r="AR27" s="341" t="s">
        <v>758</v>
      </c>
      <c r="AS27" s="341"/>
      <c r="AT27" s="341"/>
      <c r="AU27" s="341"/>
      <c r="AV27" s="341">
        <v>7</v>
      </c>
      <c r="AW27" s="341"/>
      <c r="AX27" s="341"/>
      <c r="AY27" s="341"/>
      <c r="AZ27" s="341" t="s">
        <v>762</v>
      </c>
      <c r="BA27" s="338"/>
      <c r="BB27" s="341">
        <v>0</v>
      </c>
      <c r="BC27" s="341">
        <v>0</v>
      </c>
      <c r="BD27" s="341">
        <v>7</v>
      </c>
      <c r="BE27" s="341">
        <v>0</v>
      </c>
      <c r="BF27" s="341">
        <v>0</v>
      </c>
      <c r="BG27" s="341">
        <v>0</v>
      </c>
      <c r="BH27" s="341">
        <v>0</v>
      </c>
      <c r="BI27" s="341">
        <v>0</v>
      </c>
      <c r="BJ27" s="341">
        <v>0</v>
      </c>
      <c r="BK27" s="341">
        <v>0</v>
      </c>
      <c r="BL27" s="341"/>
      <c r="BM27" s="341"/>
      <c r="BN27" s="341"/>
      <c r="BO27" s="341" t="s">
        <v>758</v>
      </c>
      <c r="BP27" s="347"/>
      <c r="BQ27" s="341"/>
      <c r="BR27" s="341"/>
      <c r="BS27" s="338"/>
      <c r="BT27" s="338"/>
      <c r="BU27" s="341"/>
      <c r="BV27" s="341" t="s">
        <v>758</v>
      </c>
      <c r="BW27" s="341"/>
      <c r="BX27" s="338"/>
      <c r="BY27" s="346" t="s">
        <v>811</v>
      </c>
    </row>
    <row r="28" spans="1:77" x14ac:dyDescent="0.15">
      <c r="A28" s="338">
        <v>761</v>
      </c>
      <c r="B28" s="339">
        <v>43200</v>
      </c>
      <c r="C28" s="340" t="s">
        <v>755</v>
      </c>
      <c r="D28" s="338" t="s">
        <v>454</v>
      </c>
      <c r="E28" s="338"/>
      <c r="F28" s="338" t="s">
        <v>808</v>
      </c>
      <c r="G28" s="339">
        <v>43008</v>
      </c>
      <c r="H28" s="341" t="s">
        <v>757</v>
      </c>
      <c r="I28" s="341" t="s">
        <v>758</v>
      </c>
      <c r="J28" s="341">
        <v>4</v>
      </c>
      <c r="K28" s="338" t="s">
        <v>769</v>
      </c>
      <c r="L28" s="338" t="s">
        <v>520</v>
      </c>
      <c r="M28" s="342">
        <v>98.499999999999986</v>
      </c>
      <c r="N28" s="342">
        <v>34.718181818181812</v>
      </c>
      <c r="O28" s="338"/>
      <c r="P28" s="343"/>
      <c r="Q28" s="344"/>
      <c r="R28" s="343"/>
      <c r="S28" s="344"/>
      <c r="T28" s="343"/>
      <c r="U28" s="338"/>
      <c r="V28" s="344"/>
      <c r="W28" s="344"/>
      <c r="X28" s="343"/>
      <c r="Y28" s="338"/>
      <c r="Z28" s="343"/>
      <c r="AA28" s="338"/>
      <c r="AB28" s="343"/>
      <c r="AC28" s="338"/>
      <c r="AD28" s="338"/>
      <c r="AE28" s="344"/>
      <c r="AF28" s="342">
        <v>14.718181818181819</v>
      </c>
      <c r="AG28" s="343"/>
      <c r="AH28" s="338"/>
      <c r="AI28" s="344"/>
      <c r="AJ28" s="338"/>
      <c r="AK28" s="338"/>
      <c r="AL28" s="338"/>
      <c r="AM28" s="338"/>
      <c r="AN28" s="344"/>
      <c r="AO28" s="345"/>
      <c r="AP28" s="344"/>
      <c r="AQ28" s="346" t="s">
        <v>809</v>
      </c>
      <c r="AR28" s="341" t="s">
        <v>758</v>
      </c>
      <c r="AS28" s="341"/>
      <c r="AT28" s="341"/>
      <c r="AU28" s="341"/>
      <c r="AV28" s="341">
        <v>9.35</v>
      </c>
      <c r="AW28" s="341"/>
      <c r="AX28" s="341"/>
      <c r="AY28" s="341"/>
      <c r="AZ28" s="341" t="s">
        <v>762</v>
      </c>
      <c r="BA28" s="338"/>
      <c r="BB28" s="341">
        <v>3</v>
      </c>
      <c r="BC28" s="341">
        <v>0</v>
      </c>
      <c r="BD28" s="341">
        <v>0</v>
      </c>
      <c r="BE28" s="341">
        <v>0</v>
      </c>
      <c r="BF28" s="341">
        <v>0</v>
      </c>
      <c r="BG28" s="341">
        <v>0</v>
      </c>
      <c r="BH28" s="341">
        <v>0</v>
      </c>
      <c r="BI28" s="341">
        <v>0</v>
      </c>
      <c r="BJ28" s="341">
        <v>0</v>
      </c>
      <c r="BK28" s="341">
        <v>0</v>
      </c>
      <c r="BL28" s="341"/>
      <c r="BM28" s="341"/>
      <c r="BN28" s="341">
        <v>12</v>
      </c>
      <c r="BO28" s="341" t="s">
        <v>758</v>
      </c>
      <c r="BP28" s="347"/>
      <c r="BQ28" s="341">
        <v>12</v>
      </c>
      <c r="BR28" s="341"/>
      <c r="BS28" s="338"/>
      <c r="BT28" s="338"/>
      <c r="BU28" s="341"/>
      <c r="BV28" s="341" t="s">
        <v>758</v>
      </c>
      <c r="BW28" s="341">
        <v>1</v>
      </c>
      <c r="BX28" s="338"/>
      <c r="BY28" s="346" t="s">
        <v>812</v>
      </c>
    </row>
    <row r="29" spans="1:77" x14ac:dyDescent="0.15">
      <c r="A29" s="338">
        <v>976</v>
      </c>
      <c r="B29" s="339">
        <v>43200</v>
      </c>
      <c r="C29" s="340" t="s">
        <v>755</v>
      </c>
      <c r="D29" s="338" t="s">
        <v>454</v>
      </c>
      <c r="E29" s="338"/>
      <c r="F29" s="338" t="s">
        <v>808</v>
      </c>
      <c r="G29" s="339">
        <v>42964</v>
      </c>
      <c r="H29" s="341" t="s">
        <v>757</v>
      </c>
      <c r="I29" s="341" t="s">
        <v>758</v>
      </c>
      <c r="J29" s="341">
        <v>5</v>
      </c>
      <c r="K29" s="338" t="s">
        <v>302</v>
      </c>
      <c r="L29" s="338" t="s">
        <v>521</v>
      </c>
      <c r="M29" s="342">
        <v>86.018181818181816</v>
      </c>
      <c r="N29" s="342">
        <v>29.554545454545451</v>
      </c>
      <c r="O29" s="338"/>
      <c r="P29" s="343"/>
      <c r="Q29" s="344"/>
      <c r="R29" s="343"/>
      <c r="S29" s="344"/>
      <c r="T29" s="343"/>
      <c r="U29" s="338"/>
      <c r="V29" s="344"/>
      <c r="W29" s="344"/>
      <c r="X29" s="343"/>
      <c r="Y29" s="338"/>
      <c r="Z29" s="343"/>
      <c r="AA29" s="338"/>
      <c r="AB29" s="343"/>
      <c r="AC29" s="338"/>
      <c r="AD29" s="338"/>
      <c r="AE29" s="344"/>
      <c r="AF29" s="342">
        <v>13.890909090909089</v>
      </c>
      <c r="AG29" s="343"/>
      <c r="AH29" s="338"/>
      <c r="AI29" s="344"/>
      <c r="AJ29" s="338"/>
      <c r="AK29" s="338"/>
      <c r="AL29" s="338"/>
      <c r="AM29" s="338"/>
      <c r="AN29" s="344"/>
      <c r="AO29" s="345"/>
      <c r="AP29" s="344"/>
      <c r="AQ29" s="346" t="s">
        <v>809</v>
      </c>
      <c r="AR29" s="341" t="s">
        <v>758</v>
      </c>
      <c r="AS29" s="341"/>
      <c r="AT29" s="341"/>
      <c r="AU29" s="341"/>
      <c r="AV29" s="341">
        <v>3</v>
      </c>
      <c r="AW29" s="341"/>
      <c r="AX29" s="341"/>
      <c r="AY29" s="341"/>
      <c r="AZ29" s="341" t="s">
        <v>361</v>
      </c>
      <c r="BA29" s="338"/>
      <c r="BB29" s="341">
        <v>0</v>
      </c>
      <c r="BC29" s="341">
        <v>0</v>
      </c>
      <c r="BD29" s="341">
        <v>0</v>
      </c>
      <c r="BE29" s="341">
        <v>0</v>
      </c>
      <c r="BF29" s="341">
        <v>0</v>
      </c>
      <c r="BG29" s="341">
        <v>0</v>
      </c>
      <c r="BH29" s="341">
        <v>0</v>
      </c>
      <c r="BI29" s="341">
        <v>0</v>
      </c>
      <c r="BJ29" s="341">
        <v>0</v>
      </c>
      <c r="BK29" s="341">
        <v>0</v>
      </c>
      <c r="BL29" s="341"/>
      <c r="BM29" s="341"/>
      <c r="BN29" s="341"/>
      <c r="BO29" s="341" t="s">
        <v>758</v>
      </c>
      <c r="BP29" s="347"/>
      <c r="BQ29" s="341"/>
      <c r="BR29" s="341"/>
      <c r="BS29" s="338"/>
      <c r="BT29" s="338"/>
      <c r="BU29" s="341"/>
      <c r="BV29" s="341" t="s">
        <v>758</v>
      </c>
      <c r="BW29" s="341"/>
      <c r="BX29" s="338"/>
      <c r="BY29" s="346" t="s">
        <v>813</v>
      </c>
    </row>
    <row r="30" spans="1:77" x14ac:dyDescent="0.15">
      <c r="A30" s="338">
        <v>1175</v>
      </c>
      <c r="B30" s="339">
        <v>43200</v>
      </c>
      <c r="C30" s="340" t="s">
        <v>755</v>
      </c>
      <c r="D30" s="338" t="s">
        <v>454</v>
      </c>
      <c r="E30" s="338"/>
      <c r="F30" s="338" t="s">
        <v>808</v>
      </c>
      <c r="G30" s="339">
        <v>43070</v>
      </c>
      <c r="H30" s="341" t="s">
        <v>757</v>
      </c>
      <c r="I30" s="341" t="s">
        <v>758</v>
      </c>
      <c r="J30" s="341">
        <v>6</v>
      </c>
      <c r="K30" s="338" t="s">
        <v>770</v>
      </c>
      <c r="L30" s="338" t="s">
        <v>771</v>
      </c>
      <c r="M30" s="342">
        <v>90.799999999999983</v>
      </c>
      <c r="N30" s="342">
        <v>36.236363636363635</v>
      </c>
      <c r="O30" s="338"/>
      <c r="P30" s="343"/>
      <c r="Q30" s="344"/>
      <c r="R30" s="343"/>
      <c r="S30" s="344"/>
      <c r="T30" s="338"/>
      <c r="U30" s="338"/>
      <c r="V30" s="344"/>
      <c r="W30" s="344"/>
      <c r="X30" s="338"/>
      <c r="Y30" s="338"/>
      <c r="Z30" s="338"/>
      <c r="AA30" s="338"/>
      <c r="AB30" s="338"/>
      <c r="AC30" s="338"/>
      <c r="AD30" s="338"/>
      <c r="AE30" s="344"/>
      <c r="AF30" s="342">
        <v>21.309090909090909</v>
      </c>
      <c r="AG30" s="343"/>
      <c r="AH30" s="338"/>
      <c r="AI30" s="344"/>
      <c r="AJ30" s="338"/>
      <c r="AK30" s="338"/>
      <c r="AL30" s="338"/>
      <c r="AM30" s="338"/>
      <c r="AN30" s="344"/>
      <c r="AO30" s="345"/>
      <c r="AP30" s="344"/>
      <c r="AQ30" s="346" t="s">
        <v>809</v>
      </c>
      <c r="AR30" s="341" t="s">
        <v>758</v>
      </c>
      <c r="AS30" s="341"/>
      <c r="AT30" s="341"/>
      <c r="AU30" s="341"/>
      <c r="AV30" s="341">
        <v>6.8</v>
      </c>
      <c r="AW30" s="341"/>
      <c r="AX30" s="341"/>
      <c r="AY30" s="341"/>
      <c r="AZ30" s="341" t="s">
        <v>361</v>
      </c>
      <c r="BA30" s="338"/>
      <c r="BB30" s="341">
        <v>0</v>
      </c>
      <c r="BC30" s="341">
        <v>0</v>
      </c>
      <c r="BD30" s="341">
        <v>0</v>
      </c>
      <c r="BE30" s="341">
        <v>0</v>
      </c>
      <c r="BF30" s="341">
        <v>0</v>
      </c>
      <c r="BG30" s="341">
        <v>0</v>
      </c>
      <c r="BH30" s="341">
        <v>0</v>
      </c>
      <c r="BI30" s="341">
        <v>0</v>
      </c>
      <c r="BJ30" s="341">
        <v>0</v>
      </c>
      <c r="BK30" s="341">
        <v>0</v>
      </c>
      <c r="BL30" s="341"/>
      <c r="BM30" s="341"/>
      <c r="BN30" s="341"/>
      <c r="BO30" s="341" t="s">
        <v>758</v>
      </c>
      <c r="BP30" s="347"/>
      <c r="BQ30" s="341"/>
      <c r="BR30" s="341"/>
      <c r="BS30" s="338"/>
      <c r="BT30" s="338"/>
      <c r="BU30" s="341"/>
      <c r="BV30" s="341" t="s">
        <v>758</v>
      </c>
      <c r="BW30" s="341"/>
      <c r="BX30" s="338"/>
      <c r="BY30" s="145" t="s">
        <v>814</v>
      </c>
    </row>
    <row r="31" spans="1:77" x14ac:dyDescent="0.15">
      <c r="A31" s="338">
        <v>1379</v>
      </c>
      <c r="B31" s="339">
        <v>43200</v>
      </c>
      <c r="C31" s="340" t="s">
        <v>755</v>
      </c>
      <c r="D31" s="338" t="s">
        <v>454</v>
      </c>
      <c r="E31" s="338"/>
      <c r="F31" s="338" t="s">
        <v>808</v>
      </c>
      <c r="G31" s="339">
        <v>43075</v>
      </c>
      <c r="H31" s="341" t="s">
        <v>757</v>
      </c>
      <c r="I31" s="341" t="s">
        <v>758</v>
      </c>
      <c r="J31" s="341">
        <v>7</v>
      </c>
      <c r="K31" s="338" t="s">
        <v>773</v>
      </c>
      <c r="L31" s="338" t="s">
        <v>774</v>
      </c>
      <c r="M31" s="342">
        <v>73.336363636363629</v>
      </c>
      <c r="N31" s="342">
        <v>29.336363636363636</v>
      </c>
      <c r="O31" s="338"/>
      <c r="P31" s="338"/>
      <c r="Q31" s="344"/>
      <c r="R31" s="343"/>
      <c r="S31" s="344"/>
      <c r="T31" s="343"/>
      <c r="U31" s="338"/>
      <c r="V31" s="344"/>
      <c r="W31" s="344"/>
      <c r="X31" s="338"/>
      <c r="Y31" s="338"/>
      <c r="Z31" s="343"/>
      <c r="AA31" s="338"/>
      <c r="AB31" s="343"/>
      <c r="AC31" s="338"/>
      <c r="AD31" s="338"/>
      <c r="AE31" s="344"/>
      <c r="AF31" s="342">
        <v>12.154545454545453</v>
      </c>
      <c r="AG31" s="343"/>
      <c r="AH31" s="338"/>
      <c r="AI31" s="344"/>
      <c r="AJ31" s="338"/>
      <c r="AK31" s="338"/>
      <c r="AL31" s="338"/>
      <c r="AM31" s="338"/>
      <c r="AN31" s="344"/>
      <c r="AO31" s="345"/>
      <c r="AP31" s="344"/>
      <c r="AQ31" s="338" t="s">
        <v>809</v>
      </c>
      <c r="AR31" s="341" t="s">
        <v>758</v>
      </c>
      <c r="AS31" s="341"/>
      <c r="AT31" s="341"/>
      <c r="AU31" s="341"/>
      <c r="AV31" s="341">
        <v>6</v>
      </c>
      <c r="AW31" s="341"/>
      <c r="AX31" s="341"/>
      <c r="AY31" s="341"/>
      <c r="AZ31" s="341" t="s">
        <v>762</v>
      </c>
      <c r="BA31" s="338"/>
      <c r="BB31" s="341">
        <v>0</v>
      </c>
      <c r="BC31" s="341">
        <v>0</v>
      </c>
      <c r="BD31" s="341">
        <v>0</v>
      </c>
      <c r="BE31" s="341">
        <v>0</v>
      </c>
      <c r="BF31" s="341">
        <v>0</v>
      </c>
      <c r="BG31" s="341">
        <v>0</v>
      </c>
      <c r="BH31" s="341">
        <v>0</v>
      </c>
      <c r="BI31" s="341">
        <v>0</v>
      </c>
      <c r="BJ31" s="341">
        <v>0</v>
      </c>
      <c r="BK31" s="341">
        <v>0</v>
      </c>
      <c r="BL31" s="341"/>
      <c r="BM31" s="341"/>
      <c r="BN31" s="341">
        <v>12</v>
      </c>
      <c r="BO31" s="341" t="s">
        <v>758</v>
      </c>
      <c r="BP31" s="347"/>
      <c r="BQ31" s="341"/>
      <c r="BR31" s="341"/>
      <c r="BS31" s="338"/>
      <c r="BT31" s="338"/>
      <c r="BU31" s="341"/>
      <c r="BV31" s="341" t="s">
        <v>758</v>
      </c>
      <c r="BW31" s="341"/>
      <c r="BX31" s="338"/>
      <c r="BY31" s="350" t="s">
        <v>815</v>
      </c>
    </row>
    <row r="32" spans="1:77" x14ac:dyDescent="0.15">
      <c r="A32" s="338">
        <v>1713</v>
      </c>
      <c r="B32" s="339">
        <v>43200</v>
      </c>
      <c r="C32" s="340" t="s">
        <v>755</v>
      </c>
      <c r="D32" s="338" t="s">
        <v>454</v>
      </c>
      <c r="E32" s="338"/>
      <c r="F32" s="338" t="s">
        <v>808</v>
      </c>
      <c r="G32" s="339">
        <v>42964</v>
      </c>
      <c r="H32" s="341" t="s">
        <v>757</v>
      </c>
      <c r="I32" s="341" t="s">
        <v>758</v>
      </c>
      <c r="J32" s="341">
        <v>9</v>
      </c>
      <c r="K32" s="338" t="s">
        <v>776</v>
      </c>
      <c r="L32" s="338" t="s">
        <v>525</v>
      </c>
      <c r="M32" s="342">
        <v>86.018181818181816</v>
      </c>
      <c r="N32" s="342">
        <v>29.554545454545451</v>
      </c>
      <c r="O32" s="338"/>
      <c r="P32" s="343"/>
      <c r="Q32" s="344"/>
      <c r="R32" s="343"/>
      <c r="S32" s="344"/>
      <c r="T32" s="338"/>
      <c r="U32" s="338"/>
      <c r="V32" s="344"/>
      <c r="W32" s="344"/>
      <c r="X32" s="338"/>
      <c r="Y32" s="338"/>
      <c r="Z32" s="338"/>
      <c r="AA32" s="338"/>
      <c r="AB32" s="338"/>
      <c r="AC32" s="338"/>
      <c r="AD32" s="338"/>
      <c r="AE32" s="344"/>
      <c r="AF32" s="342">
        <v>13.890909090909089</v>
      </c>
      <c r="AG32" s="343"/>
      <c r="AH32" s="338"/>
      <c r="AI32" s="344"/>
      <c r="AJ32" s="338"/>
      <c r="AK32" s="338"/>
      <c r="AL32" s="338"/>
      <c r="AM32" s="338"/>
      <c r="AN32" s="344"/>
      <c r="AO32" s="345"/>
      <c r="AP32" s="344"/>
      <c r="AQ32" s="346" t="s">
        <v>809</v>
      </c>
      <c r="AR32" s="341" t="s">
        <v>758</v>
      </c>
      <c r="AS32" s="341"/>
      <c r="AT32" s="341"/>
      <c r="AU32" s="341"/>
      <c r="AV32" s="341">
        <v>3</v>
      </c>
      <c r="AW32" s="341"/>
      <c r="AX32" s="341"/>
      <c r="AY32" s="341"/>
      <c r="AZ32" s="341" t="s">
        <v>762</v>
      </c>
      <c r="BA32" s="338"/>
      <c r="BB32" s="341">
        <v>0</v>
      </c>
      <c r="BC32" s="341">
        <v>0</v>
      </c>
      <c r="BD32" s="341">
        <v>0</v>
      </c>
      <c r="BE32" s="341">
        <v>0</v>
      </c>
      <c r="BF32" s="341">
        <v>0</v>
      </c>
      <c r="BG32" s="341">
        <v>0</v>
      </c>
      <c r="BH32" s="341">
        <v>0</v>
      </c>
      <c r="BI32" s="341">
        <v>0</v>
      </c>
      <c r="BJ32" s="341">
        <v>0</v>
      </c>
      <c r="BK32" s="341">
        <v>0</v>
      </c>
      <c r="BL32" s="341"/>
      <c r="BM32" s="341"/>
      <c r="BN32" s="341"/>
      <c r="BO32" s="341" t="s">
        <v>758</v>
      </c>
      <c r="BP32" s="347"/>
      <c r="BQ32" s="341"/>
      <c r="BR32" s="351"/>
      <c r="BS32" s="338"/>
      <c r="BT32" s="338"/>
      <c r="BU32" s="341"/>
      <c r="BV32" s="341" t="s">
        <v>758</v>
      </c>
      <c r="BW32" s="341"/>
      <c r="BX32" s="338"/>
      <c r="BY32" s="338" t="s">
        <v>605</v>
      </c>
    </row>
    <row r="33" spans="1:77" x14ac:dyDescent="0.15">
      <c r="A33" s="338">
        <v>1772</v>
      </c>
      <c r="B33" s="339">
        <v>43200</v>
      </c>
      <c r="C33" s="340" t="s">
        <v>755</v>
      </c>
      <c r="D33" s="338" t="s">
        <v>454</v>
      </c>
      <c r="E33" s="338"/>
      <c r="F33" s="338" t="s">
        <v>808</v>
      </c>
      <c r="G33" s="349">
        <v>42930</v>
      </c>
      <c r="H33" s="341" t="s">
        <v>757</v>
      </c>
      <c r="I33" s="341" t="s">
        <v>758</v>
      </c>
      <c r="J33" s="341">
        <v>10</v>
      </c>
      <c r="K33" s="338" t="s">
        <v>777</v>
      </c>
      <c r="L33" s="338" t="s">
        <v>778</v>
      </c>
      <c r="M33" s="342">
        <v>96.899999999999991</v>
      </c>
      <c r="N33" s="342">
        <v>36.327272727272728</v>
      </c>
      <c r="O33" s="68" t="s">
        <v>518</v>
      </c>
      <c r="P33" s="25">
        <v>3822</v>
      </c>
      <c r="Q33" s="342">
        <v>35.509090909090908</v>
      </c>
      <c r="R33" s="343"/>
      <c r="S33" s="344"/>
      <c r="T33" s="343"/>
      <c r="U33" s="338"/>
      <c r="V33" s="344"/>
      <c r="W33" s="344"/>
      <c r="X33" s="338"/>
      <c r="Y33" s="338"/>
      <c r="Z33" s="338"/>
      <c r="AA33" s="338"/>
      <c r="AB33" s="338"/>
      <c r="AC33" s="338"/>
      <c r="AD33" s="338"/>
      <c r="AE33" s="344"/>
      <c r="AF33" s="342">
        <v>14.59090909090909</v>
      </c>
      <c r="AG33" s="343"/>
      <c r="AH33" s="338"/>
      <c r="AI33" s="344"/>
      <c r="AJ33" s="338"/>
      <c r="AK33" s="338"/>
      <c r="AL33" s="338"/>
      <c r="AM33" s="338"/>
      <c r="AN33" s="344"/>
      <c r="AO33" s="345"/>
      <c r="AP33" s="344"/>
      <c r="AQ33" s="346" t="s">
        <v>809</v>
      </c>
      <c r="AR33" s="341" t="s">
        <v>758</v>
      </c>
      <c r="AS33" s="341"/>
      <c r="AT33" s="341"/>
      <c r="AU33" s="341"/>
      <c r="AV33" s="341">
        <v>4.5</v>
      </c>
      <c r="AW33" s="341"/>
      <c r="AX33" s="341"/>
      <c r="AY33" s="341"/>
      <c r="AZ33" s="341" t="s">
        <v>758</v>
      </c>
      <c r="BA33" s="338"/>
      <c r="BB33" s="341">
        <v>18</v>
      </c>
      <c r="BC33" s="341">
        <v>0</v>
      </c>
      <c r="BD33" s="341">
        <v>0</v>
      </c>
      <c r="BE33" s="341">
        <v>0</v>
      </c>
      <c r="BF33" s="341">
        <v>0</v>
      </c>
      <c r="BG33" s="341">
        <v>0</v>
      </c>
      <c r="BH33" s="341">
        <v>0</v>
      </c>
      <c r="BI33" s="341">
        <v>0</v>
      </c>
      <c r="BJ33" s="341">
        <v>0</v>
      </c>
      <c r="BK33" s="341">
        <v>0</v>
      </c>
      <c r="BL33" s="341"/>
      <c r="BM33" s="341"/>
      <c r="BN33" s="341"/>
      <c r="BO33" s="341" t="s">
        <v>758</v>
      </c>
      <c r="BP33" s="347"/>
      <c r="BQ33" s="341"/>
      <c r="BR33" s="341"/>
      <c r="BS33" s="352"/>
      <c r="BT33" s="352"/>
      <c r="BU33" s="341"/>
      <c r="BV33" s="341" t="s">
        <v>758</v>
      </c>
      <c r="BW33" s="341"/>
      <c r="BX33" s="338"/>
      <c r="BY33" s="346" t="s">
        <v>816</v>
      </c>
    </row>
    <row r="34" spans="1:77" x14ac:dyDescent="0.15">
      <c r="A34" s="338">
        <v>255</v>
      </c>
      <c r="B34" s="339">
        <v>43200</v>
      </c>
      <c r="C34" s="340" t="s">
        <v>755</v>
      </c>
      <c r="D34" s="338" t="s">
        <v>454</v>
      </c>
      <c r="E34" s="338"/>
      <c r="F34" s="338" t="s">
        <v>808</v>
      </c>
      <c r="G34" s="349">
        <v>43021</v>
      </c>
      <c r="H34" s="341" t="s">
        <v>175</v>
      </c>
      <c r="I34" s="341" t="s">
        <v>174</v>
      </c>
      <c r="J34" s="341">
        <v>11</v>
      </c>
      <c r="K34" s="338" t="s">
        <v>779</v>
      </c>
      <c r="L34" s="338" t="s">
        <v>780</v>
      </c>
      <c r="M34" s="342">
        <v>99.318181818181813</v>
      </c>
      <c r="N34" s="342">
        <v>26.109090909090906</v>
      </c>
      <c r="O34" s="338"/>
      <c r="P34" s="338"/>
      <c r="Q34" s="344"/>
      <c r="R34" s="338"/>
      <c r="S34" s="344"/>
      <c r="T34" s="338"/>
      <c r="U34" s="338"/>
      <c r="V34" s="344"/>
      <c r="W34" s="344"/>
      <c r="X34" s="338"/>
      <c r="Y34" s="338"/>
      <c r="Z34" s="338"/>
      <c r="AA34" s="338"/>
      <c r="AB34" s="338"/>
      <c r="AC34" s="338"/>
      <c r="AD34" s="338"/>
      <c r="AE34" s="344"/>
      <c r="AF34" s="342">
        <v>13.354545454545454</v>
      </c>
      <c r="AG34" s="338"/>
      <c r="AH34" s="338"/>
      <c r="AI34" s="344"/>
      <c r="AJ34" s="338"/>
      <c r="AK34" s="338"/>
      <c r="AL34" s="338"/>
      <c r="AM34" s="338"/>
      <c r="AN34" s="344"/>
      <c r="AO34" s="345"/>
      <c r="AP34" s="357"/>
      <c r="AQ34" s="338" t="s">
        <v>809</v>
      </c>
      <c r="AR34" s="341" t="s">
        <v>758</v>
      </c>
      <c r="AS34" s="341"/>
      <c r="AT34" s="341"/>
      <c r="AU34" s="341"/>
      <c r="AV34" s="341">
        <v>6.8</v>
      </c>
      <c r="AW34" s="341"/>
      <c r="AX34" s="341"/>
      <c r="AY34" s="341"/>
      <c r="AZ34" s="341" t="s">
        <v>758</v>
      </c>
      <c r="BA34" s="338"/>
      <c r="BB34" s="341">
        <v>0</v>
      </c>
      <c r="BC34" s="341">
        <v>0</v>
      </c>
      <c r="BD34" s="341">
        <v>0</v>
      </c>
      <c r="BE34" s="341">
        <v>0</v>
      </c>
      <c r="BF34" s="341">
        <v>0</v>
      </c>
      <c r="BG34" s="341">
        <v>0</v>
      </c>
      <c r="BH34" s="341">
        <v>0</v>
      </c>
      <c r="BI34" s="341">
        <v>0</v>
      </c>
      <c r="BJ34" s="341">
        <v>0</v>
      </c>
      <c r="BK34" s="341">
        <v>0</v>
      </c>
      <c r="BL34" s="341"/>
      <c r="BM34" s="341"/>
      <c r="BN34" s="341"/>
      <c r="BO34" s="341" t="s">
        <v>758</v>
      </c>
      <c r="BP34" s="347"/>
      <c r="BQ34" s="341"/>
      <c r="BR34" s="341"/>
      <c r="BS34" s="352"/>
      <c r="BT34" s="352"/>
      <c r="BU34" s="341"/>
      <c r="BV34" s="341" t="s">
        <v>758</v>
      </c>
      <c r="BW34" s="341">
        <v>1</v>
      </c>
      <c r="BX34" s="338"/>
      <c r="BY34" s="338" t="s">
        <v>817</v>
      </c>
    </row>
    <row r="35" spans="1:77" x14ac:dyDescent="0.15">
      <c r="A35" s="338">
        <v>1500</v>
      </c>
      <c r="B35" s="339">
        <v>43200</v>
      </c>
      <c r="C35" s="340" t="s">
        <v>755</v>
      </c>
      <c r="D35" s="338" t="s">
        <v>454</v>
      </c>
      <c r="E35" s="338"/>
      <c r="F35" s="338" t="s">
        <v>808</v>
      </c>
      <c r="G35" s="339">
        <v>43131</v>
      </c>
      <c r="H35" s="341" t="s">
        <v>757</v>
      </c>
      <c r="I35" s="341" t="s">
        <v>758</v>
      </c>
      <c r="J35" s="341">
        <v>12</v>
      </c>
      <c r="K35" s="338" t="s">
        <v>495</v>
      </c>
      <c r="L35" s="338" t="s">
        <v>781</v>
      </c>
      <c r="M35" s="342">
        <v>114.99999999999999</v>
      </c>
      <c r="N35" s="342">
        <v>29.9</v>
      </c>
      <c r="O35" s="338"/>
      <c r="P35" s="343"/>
      <c r="Q35" s="344"/>
      <c r="R35" s="343"/>
      <c r="S35" s="344"/>
      <c r="T35" s="338"/>
      <c r="U35" s="338"/>
      <c r="V35" s="344"/>
      <c r="W35" s="344"/>
      <c r="X35" s="338"/>
      <c r="Y35" s="338"/>
      <c r="Z35" s="338"/>
      <c r="AA35" s="338"/>
      <c r="AB35" s="338"/>
      <c r="AC35" s="338"/>
      <c r="AD35" s="338"/>
      <c r="AE35" s="344"/>
      <c r="AF35" s="342">
        <v>15.5</v>
      </c>
      <c r="AG35" s="343"/>
      <c r="AH35" s="338"/>
      <c r="AI35" s="344"/>
      <c r="AJ35" s="338"/>
      <c r="AK35" s="338"/>
      <c r="AL35" s="338"/>
      <c r="AM35" s="338"/>
      <c r="AN35" s="344"/>
      <c r="AO35" s="345"/>
      <c r="AP35" s="344"/>
      <c r="AQ35" s="346" t="s">
        <v>809</v>
      </c>
      <c r="AR35" s="341" t="s">
        <v>758</v>
      </c>
      <c r="AS35" s="341"/>
      <c r="AT35" s="341"/>
      <c r="AU35" s="341"/>
      <c r="AV35" s="341">
        <v>3</v>
      </c>
      <c r="AW35" s="341"/>
      <c r="AX35" s="341"/>
      <c r="AY35" s="341"/>
      <c r="AZ35" s="341" t="s">
        <v>762</v>
      </c>
      <c r="BA35" s="338"/>
      <c r="BB35" s="341">
        <v>0</v>
      </c>
      <c r="BC35" s="341">
        <v>0</v>
      </c>
      <c r="BD35" s="341">
        <v>0</v>
      </c>
      <c r="BE35" s="341">
        <v>0</v>
      </c>
      <c r="BF35" s="341">
        <v>0</v>
      </c>
      <c r="BG35" s="341">
        <v>0</v>
      </c>
      <c r="BH35" s="341">
        <v>0</v>
      </c>
      <c r="BI35" s="341">
        <v>0</v>
      </c>
      <c r="BJ35" s="341">
        <v>0</v>
      </c>
      <c r="BK35" s="341">
        <v>0</v>
      </c>
      <c r="BL35" s="341"/>
      <c r="BM35" s="341"/>
      <c r="BN35" s="341"/>
      <c r="BO35" s="341" t="s">
        <v>758</v>
      </c>
      <c r="BP35" s="347"/>
      <c r="BQ35" s="341"/>
      <c r="BR35" s="341"/>
      <c r="BS35" s="338"/>
      <c r="BT35" s="338"/>
      <c r="BU35" s="341"/>
      <c r="BV35" s="341" t="s">
        <v>758</v>
      </c>
      <c r="BW35" s="341">
        <v>1</v>
      </c>
      <c r="BX35" s="352"/>
      <c r="BY35" s="353" t="s">
        <v>818</v>
      </c>
    </row>
    <row r="36" spans="1:77" x14ac:dyDescent="0.15">
      <c r="A36" s="338">
        <v>1442</v>
      </c>
      <c r="B36" s="339">
        <v>43200</v>
      </c>
      <c r="C36" s="340" t="s">
        <v>755</v>
      </c>
      <c r="D36" s="338" t="s">
        <v>454</v>
      </c>
      <c r="E36" s="338"/>
      <c r="F36" s="338" t="s">
        <v>808</v>
      </c>
      <c r="G36" s="339">
        <v>42947</v>
      </c>
      <c r="H36" s="341" t="s">
        <v>757</v>
      </c>
      <c r="I36" s="341" t="s">
        <v>758</v>
      </c>
      <c r="J36" s="341">
        <v>13</v>
      </c>
      <c r="K36" s="338" t="s">
        <v>531</v>
      </c>
      <c r="L36" s="338" t="s">
        <v>783</v>
      </c>
      <c r="M36" s="342">
        <v>87.590909090909079</v>
      </c>
      <c r="N36" s="342">
        <v>24.263636363636362</v>
      </c>
      <c r="O36" s="338"/>
      <c r="P36" s="338"/>
      <c r="Q36" s="344"/>
      <c r="R36" s="343"/>
      <c r="S36" s="344"/>
      <c r="T36" s="343"/>
      <c r="U36" s="338"/>
      <c r="V36" s="344"/>
      <c r="W36" s="344"/>
      <c r="X36" s="338"/>
      <c r="Y36" s="338"/>
      <c r="Z36" s="343"/>
      <c r="AA36" s="338"/>
      <c r="AB36" s="343"/>
      <c r="AC36" s="338"/>
      <c r="AD36" s="338"/>
      <c r="AE36" s="344"/>
      <c r="AF36" s="342">
        <v>16.009090909090908</v>
      </c>
      <c r="AG36" s="343"/>
      <c r="AH36" s="338"/>
      <c r="AI36" s="344"/>
      <c r="AJ36" s="338"/>
      <c r="AK36" s="338"/>
      <c r="AL36" s="338"/>
      <c r="AM36" s="338"/>
      <c r="AN36" s="344"/>
      <c r="AO36" s="345"/>
      <c r="AP36" s="344"/>
      <c r="AQ36" s="346" t="s">
        <v>809</v>
      </c>
      <c r="AR36" s="341" t="s">
        <v>758</v>
      </c>
      <c r="AS36" s="341"/>
      <c r="AT36" s="341"/>
      <c r="AU36" s="341"/>
      <c r="AV36" s="341"/>
      <c r="AW36" s="341"/>
      <c r="AX36" s="341"/>
      <c r="AY36" s="341"/>
      <c r="AZ36" s="341" t="s">
        <v>174</v>
      </c>
      <c r="BA36" s="338"/>
      <c r="BB36" s="341">
        <v>0</v>
      </c>
      <c r="BC36" s="341">
        <v>0</v>
      </c>
      <c r="BD36" s="341">
        <v>0</v>
      </c>
      <c r="BE36" s="341">
        <v>0</v>
      </c>
      <c r="BF36" s="341">
        <v>0</v>
      </c>
      <c r="BG36" s="341">
        <v>0</v>
      </c>
      <c r="BH36" s="341">
        <v>0</v>
      </c>
      <c r="BI36" s="341">
        <v>0</v>
      </c>
      <c r="BJ36" s="341">
        <v>0</v>
      </c>
      <c r="BK36" s="341">
        <v>0</v>
      </c>
      <c r="BL36" s="341"/>
      <c r="BM36" s="341"/>
      <c r="BN36" s="341"/>
      <c r="BO36" s="341" t="s">
        <v>758</v>
      </c>
      <c r="BP36" s="354">
        <v>81.818181818181813</v>
      </c>
      <c r="BQ36" s="341"/>
      <c r="BR36" s="341"/>
      <c r="BS36" s="338"/>
      <c r="BT36" s="338"/>
      <c r="BU36" s="341"/>
      <c r="BV36" s="341" t="s">
        <v>758</v>
      </c>
      <c r="BW36" s="341">
        <v>1</v>
      </c>
      <c r="BX36" s="338" t="s">
        <v>592</v>
      </c>
      <c r="BY36" s="350" t="s">
        <v>819</v>
      </c>
    </row>
    <row r="37" spans="1:77" x14ac:dyDescent="0.15">
      <c r="A37" s="338">
        <v>1444</v>
      </c>
      <c r="B37" s="339">
        <v>43200</v>
      </c>
      <c r="C37" s="340" t="s">
        <v>755</v>
      </c>
      <c r="D37" s="338" t="s">
        <v>454</v>
      </c>
      <c r="E37" s="338"/>
      <c r="F37" s="338" t="s">
        <v>808</v>
      </c>
      <c r="G37" s="339">
        <v>42947</v>
      </c>
      <c r="H37" s="341" t="s">
        <v>757</v>
      </c>
      <c r="I37" s="341" t="s">
        <v>758</v>
      </c>
      <c r="J37" s="341">
        <v>13</v>
      </c>
      <c r="K37" s="338" t="s">
        <v>531</v>
      </c>
      <c r="L37" s="338" t="s">
        <v>820</v>
      </c>
      <c r="M37" s="342">
        <v>116.33636363636363</v>
      </c>
      <c r="N37" s="342">
        <v>24.263636363636362</v>
      </c>
      <c r="O37" s="338"/>
      <c r="P37" s="338"/>
      <c r="Q37" s="344"/>
      <c r="R37" s="343"/>
      <c r="S37" s="344"/>
      <c r="T37" s="343"/>
      <c r="U37" s="338"/>
      <c r="V37" s="344"/>
      <c r="W37" s="344"/>
      <c r="X37" s="338"/>
      <c r="Y37" s="338"/>
      <c r="Z37" s="343"/>
      <c r="AA37" s="338"/>
      <c r="AB37" s="343"/>
      <c r="AC37" s="338"/>
      <c r="AD37" s="338"/>
      <c r="AE37" s="344"/>
      <c r="AF37" s="342">
        <v>16.009090909090908</v>
      </c>
      <c r="AG37" s="343"/>
      <c r="AH37" s="338"/>
      <c r="AI37" s="344"/>
      <c r="AJ37" s="338"/>
      <c r="AK37" s="338"/>
      <c r="AL37" s="338"/>
      <c r="AM37" s="338"/>
      <c r="AN37" s="344"/>
      <c r="AO37" s="345"/>
      <c r="AP37" s="344"/>
      <c r="AQ37" s="338" t="s">
        <v>809</v>
      </c>
      <c r="AR37" s="341" t="s">
        <v>758</v>
      </c>
      <c r="AS37" s="341"/>
      <c r="AT37" s="341"/>
      <c r="AU37" s="341"/>
      <c r="AV37" s="341"/>
      <c r="AW37" s="341"/>
      <c r="AX37" s="341"/>
      <c r="AY37" s="341"/>
      <c r="AZ37" s="341" t="s">
        <v>174</v>
      </c>
      <c r="BA37" s="338"/>
      <c r="BB37" s="341">
        <v>0</v>
      </c>
      <c r="BC37" s="341">
        <v>0</v>
      </c>
      <c r="BD37" s="341">
        <v>0</v>
      </c>
      <c r="BE37" s="341">
        <v>0</v>
      </c>
      <c r="BF37" s="341">
        <v>0</v>
      </c>
      <c r="BG37" s="341">
        <v>0</v>
      </c>
      <c r="BH37" s="341">
        <v>0</v>
      </c>
      <c r="BI37" s="341">
        <v>0</v>
      </c>
      <c r="BJ37" s="341">
        <v>0</v>
      </c>
      <c r="BK37" s="341">
        <v>0</v>
      </c>
      <c r="BL37" s="341"/>
      <c r="BM37" s="341"/>
      <c r="BN37" s="341"/>
      <c r="BO37" s="341" t="s">
        <v>758</v>
      </c>
      <c r="BP37" s="354">
        <v>81.818181818181813</v>
      </c>
      <c r="BQ37" s="341"/>
      <c r="BR37" s="341"/>
      <c r="BS37" s="338"/>
      <c r="BT37" s="338"/>
      <c r="BU37" s="341"/>
      <c r="BV37" s="341" t="s">
        <v>758</v>
      </c>
      <c r="BW37" s="341">
        <v>1</v>
      </c>
      <c r="BX37" s="338" t="s">
        <v>592</v>
      </c>
      <c r="BY37" s="350" t="s">
        <v>821</v>
      </c>
    </row>
    <row r="38" spans="1:77" x14ac:dyDescent="0.15">
      <c r="A38" s="338">
        <v>590</v>
      </c>
      <c r="B38" s="339">
        <v>43200</v>
      </c>
      <c r="C38" s="340" t="s">
        <v>755</v>
      </c>
      <c r="D38" s="338" t="s">
        <v>454</v>
      </c>
      <c r="E38" s="338"/>
      <c r="F38" s="338" t="s">
        <v>808</v>
      </c>
      <c r="G38" s="349">
        <v>43057</v>
      </c>
      <c r="H38" s="341" t="s">
        <v>757</v>
      </c>
      <c r="I38" s="341" t="s">
        <v>758</v>
      </c>
      <c r="J38" s="341">
        <v>14</v>
      </c>
      <c r="K38" s="338" t="s">
        <v>784</v>
      </c>
      <c r="L38" s="338" t="s">
        <v>595</v>
      </c>
      <c r="M38" s="342">
        <v>70</v>
      </c>
      <c r="N38" s="342">
        <v>25.909090909090907</v>
      </c>
      <c r="O38" s="338"/>
      <c r="P38" s="343"/>
      <c r="Q38" s="344"/>
      <c r="R38" s="343"/>
      <c r="S38" s="344"/>
      <c r="T38" s="343"/>
      <c r="U38" s="338"/>
      <c r="V38" s="344"/>
      <c r="W38" s="344"/>
      <c r="X38" s="343"/>
      <c r="Y38" s="338"/>
      <c r="Z38" s="343"/>
      <c r="AA38" s="338"/>
      <c r="AB38" s="343"/>
      <c r="AC38" s="338"/>
      <c r="AD38" s="338"/>
      <c r="AE38" s="344"/>
      <c r="AF38" s="342">
        <v>17.727272727272727</v>
      </c>
      <c r="AG38" s="343"/>
      <c r="AH38" s="338"/>
      <c r="AI38" s="344"/>
      <c r="AJ38" s="338"/>
      <c r="AK38" s="338"/>
      <c r="AL38" s="338"/>
      <c r="AM38" s="338"/>
      <c r="AN38" s="344"/>
      <c r="AO38" s="345"/>
      <c r="AP38" s="344"/>
      <c r="AQ38" s="338" t="s">
        <v>809</v>
      </c>
      <c r="AR38" s="341" t="s">
        <v>758</v>
      </c>
      <c r="AS38" s="341"/>
      <c r="AT38" s="341"/>
      <c r="AU38" s="341"/>
      <c r="AV38" s="341">
        <v>7</v>
      </c>
      <c r="AW38" s="341"/>
      <c r="AX38" s="341"/>
      <c r="AY38" s="341"/>
      <c r="AZ38" s="341" t="s">
        <v>762</v>
      </c>
      <c r="BA38" s="338"/>
      <c r="BB38" s="341">
        <v>0</v>
      </c>
      <c r="BC38" s="341">
        <v>0</v>
      </c>
      <c r="BD38" s="341">
        <v>0</v>
      </c>
      <c r="BE38" s="341">
        <v>0</v>
      </c>
      <c r="BF38" s="341">
        <v>0</v>
      </c>
      <c r="BG38" s="341">
        <v>0</v>
      </c>
      <c r="BH38" s="341">
        <v>0</v>
      </c>
      <c r="BI38" s="341">
        <v>0</v>
      </c>
      <c r="BJ38" s="341">
        <v>0</v>
      </c>
      <c r="BK38" s="341">
        <v>0</v>
      </c>
      <c r="BL38" s="341"/>
      <c r="BM38" s="341"/>
      <c r="BN38" s="341"/>
      <c r="BO38" s="341" t="s">
        <v>758</v>
      </c>
      <c r="BP38" s="354">
        <v>163.58181818181816</v>
      </c>
      <c r="BQ38" s="341"/>
      <c r="BR38" s="351"/>
      <c r="BS38" s="352" t="s">
        <v>785</v>
      </c>
      <c r="BT38" s="352" t="s">
        <v>195</v>
      </c>
      <c r="BU38" s="352">
        <v>89.97</v>
      </c>
      <c r="BV38" s="341" t="s">
        <v>758</v>
      </c>
      <c r="BW38" s="341"/>
      <c r="BX38" s="338"/>
      <c r="BY38" s="346" t="s">
        <v>822</v>
      </c>
    </row>
    <row r="39" spans="1:77" x14ac:dyDescent="0.15">
      <c r="A39" s="338">
        <v>826</v>
      </c>
      <c r="B39" s="339">
        <v>43200</v>
      </c>
      <c r="C39" s="340" t="s">
        <v>755</v>
      </c>
      <c r="D39" s="338" t="s">
        <v>454</v>
      </c>
      <c r="E39" s="338"/>
      <c r="F39" s="338" t="s">
        <v>808</v>
      </c>
      <c r="G39" s="339">
        <v>42587</v>
      </c>
      <c r="H39" s="341" t="s">
        <v>757</v>
      </c>
      <c r="I39" s="341" t="s">
        <v>758</v>
      </c>
      <c r="J39" s="341">
        <v>15</v>
      </c>
      <c r="K39" s="338" t="s">
        <v>597</v>
      </c>
      <c r="L39" s="338" t="s">
        <v>787</v>
      </c>
      <c r="M39" s="342">
        <v>85.799999999999983</v>
      </c>
      <c r="N39" s="342">
        <v>30.418181818181818</v>
      </c>
      <c r="O39" s="338"/>
      <c r="P39" s="343"/>
      <c r="Q39" s="344"/>
      <c r="R39" s="343"/>
      <c r="S39" s="344"/>
      <c r="T39" s="343"/>
      <c r="U39" s="338"/>
      <c r="V39" s="344"/>
      <c r="W39" s="344"/>
      <c r="X39" s="343"/>
      <c r="Y39" s="338"/>
      <c r="Z39" s="343"/>
      <c r="AA39" s="338"/>
      <c r="AB39" s="343"/>
      <c r="AC39" s="338"/>
      <c r="AD39" s="338"/>
      <c r="AE39" s="344"/>
      <c r="AF39" s="342">
        <v>15.618181818181817</v>
      </c>
      <c r="AG39" s="343"/>
      <c r="AH39" s="338"/>
      <c r="AI39" s="344"/>
      <c r="AJ39" s="338"/>
      <c r="AK39" s="338"/>
      <c r="AL39" s="338"/>
      <c r="AM39" s="338"/>
      <c r="AN39" s="344"/>
      <c r="AO39" s="345"/>
      <c r="AP39" s="344"/>
      <c r="AQ39" s="338" t="s">
        <v>809</v>
      </c>
      <c r="AR39" s="341" t="s">
        <v>758</v>
      </c>
      <c r="AS39" s="341"/>
      <c r="AT39" s="341"/>
      <c r="AU39" s="341"/>
      <c r="AV39" s="341">
        <v>4</v>
      </c>
      <c r="AW39" s="341"/>
      <c r="AX39" s="341"/>
      <c r="AY39" s="341"/>
      <c r="AZ39" s="341" t="s">
        <v>758</v>
      </c>
      <c r="BA39" s="338"/>
      <c r="BB39" s="341">
        <v>0</v>
      </c>
      <c r="BC39" s="341">
        <v>0</v>
      </c>
      <c r="BD39" s="341">
        <v>0</v>
      </c>
      <c r="BE39" s="341">
        <v>0</v>
      </c>
      <c r="BF39" s="341">
        <v>0</v>
      </c>
      <c r="BG39" s="341">
        <v>0</v>
      </c>
      <c r="BH39" s="341">
        <v>0</v>
      </c>
      <c r="BI39" s="341">
        <v>0</v>
      </c>
      <c r="BJ39" s="341">
        <v>0</v>
      </c>
      <c r="BK39" s="341">
        <v>0</v>
      </c>
      <c r="BL39" s="341"/>
      <c r="BM39" s="341"/>
      <c r="BN39" s="341">
        <v>12</v>
      </c>
      <c r="BO39" s="341" t="s">
        <v>758</v>
      </c>
      <c r="BP39" s="347"/>
      <c r="BQ39" s="341"/>
      <c r="BR39" s="341"/>
      <c r="BS39" s="338"/>
      <c r="BT39" s="338"/>
      <c r="BU39" s="341"/>
      <c r="BV39" s="341" t="s">
        <v>758</v>
      </c>
      <c r="BW39" s="341"/>
      <c r="BX39" s="338"/>
      <c r="BY39" s="346" t="s">
        <v>823</v>
      </c>
    </row>
    <row r="40" spans="1:77" x14ac:dyDescent="0.15">
      <c r="A40" s="338">
        <v>511</v>
      </c>
      <c r="B40" s="339">
        <v>43200</v>
      </c>
      <c r="C40" s="340" t="s">
        <v>755</v>
      </c>
      <c r="D40" s="338" t="s">
        <v>454</v>
      </c>
      <c r="E40" s="338"/>
      <c r="F40" s="338" t="s">
        <v>808</v>
      </c>
      <c r="G40" s="339">
        <v>42916</v>
      </c>
      <c r="H40" s="341" t="s">
        <v>175</v>
      </c>
      <c r="I40" s="341" t="s">
        <v>174</v>
      </c>
      <c r="J40" s="341">
        <v>16</v>
      </c>
      <c r="K40" s="338" t="s">
        <v>676</v>
      </c>
      <c r="L40" s="338" t="s">
        <v>789</v>
      </c>
      <c r="M40" s="342">
        <v>70.999999999999986</v>
      </c>
      <c r="N40" s="342">
        <v>35.199999999999996</v>
      </c>
      <c r="O40" s="338"/>
      <c r="P40" s="343"/>
      <c r="Q40" s="344"/>
      <c r="R40" s="343"/>
      <c r="S40" s="344"/>
      <c r="T40" s="343"/>
      <c r="U40" s="338"/>
      <c r="V40" s="344"/>
      <c r="W40" s="344"/>
      <c r="X40" s="338"/>
      <c r="Y40" s="338"/>
      <c r="Z40" s="338"/>
      <c r="AA40" s="338"/>
      <c r="AB40" s="338"/>
      <c r="AC40" s="338"/>
      <c r="AD40" s="338"/>
      <c r="AE40" s="344"/>
      <c r="AF40" s="342">
        <v>16</v>
      </c>
      <c r="AG40" s="343"/>
      <c r="AH40" s="338"/>
      <c r="AI40" s="344"/>
      <c r="AJ40" s="338"/>
      <c r="AK40" s="338"/>
      <c r="AL40" s="338"/>
      <c r="AM40" s="338"/>
      <c r="AN40" s="344"/>
      <c r="AO40" s="345"/>
      <c r="AP40" s="344"/>
      <c r="AQ40" s="346" t="s">
        <v>809</v>
      </c>
      <c r="AR40" s="341" t="s">
        <v>758</v>
      </c>
      <c r="AS40" s="341"/>
      <c r="AT40" s="341"/>
      <c r="AU40" s="341"/>
      <c r="AV40" s="341">
        <v>6</v>
      </c>
      <c r="AW40" s="341"/>
      <c r="AX40" s="341"/>
      <c r="AY40" s="341"/>
      <c r="AZ40" s="341" t="s">
        <v>762</v>
      </c>
      <c r="BA40" s="338"/>
      <c r="BB40" s="341">
        <v>0</v>
      </c>
      <c r="BC40" s="341">
        <v>15</v>
      </c>
      <c r="BD40" s="341">
        <v>0</v>
      </c>
      <c r="BE40" s="341">
        <v>0</v>
      </c>
      <c r="BF40" s="341">
        <v>0</v>
      </c>
      <c r="BG40" s="341">
        <v>0</v>
      </c>
      <c r="BH40" s="341">
        <v>0</v>
      </c>
      <c r="BI40" s="341">
        <v>0</v>
      </c>
      <c r="BJ40" s="341">
        <v>0</v>
      </c>
      <c r="BK40" s="341">
        <v>0</v>
      </c>
      <c r="BL40" s="341"/>
      <c r="BM40" s="341"/>
      <c r="BN40" s="341"/>
      <c r="BO40" s="341" t="s">
        <v>758</v>
      </c>
      <c r="BP40" s="347"/>
      <c r="BQ40" s="341"/>
      <c r="BR40" s="341"/>
      <c r="BS40" s="338"/>
      <c r="BT40" s="338"/>
      <c r="BU40" s="341"/>
      <c r="BV40" s="341" t="s">
        <v>758</v>
      </c>
      <c r="BW40" s="341"/>
      <c r="BX40" s="338" t="s">
        <v>790</v>
      </c>
      <c r="BY40" s="346" t="s">
        <v>824</v>
      </c>
    </row>
    <row r="41" spans="1:77" x14ac:dyDescent="0.15">
      <c r="A41" s="338">
        <v>1567</v>
      </c>
      <c r="B41" s="339">
        <v>43200</v>
      </c>
      <c r="C41" s="340" t="s">
        <v>755</v>
      </c>
      <c r="D41" s="338" t="s">
        <v>454</v>
      </c>
      <c r="E41" s="338"/>
      <c r="F41" s="338" t="s">
        <v>808</v>
      </c>
      <c r="G41" s="339">
        <v>43148</v>
      </c>
      <c r="H41" s="341" t="s">
        <v>757</v>
      </c>
      <c r="I41" s="341" t="s">
        <v>758</v>
      </c>
      <c r="J41" s="341">
        <v>17</v>
      </c>
      <c r="K41" s="338" t="s">
        <v>691</v>
      </c>
      <c r="L41" s="338" t="s">
        <v>791</v>
      </c>
      <c r="M41" s="342">
        <v>73.099999999999994</v>
      </c>
      <c r="N41" s="342">
        <v>27.554545454545451</v>
      </c>
      <c r="O41" s="338"/>
      <c r="P41" s="343"/>
      <c r="Q41" s="344"/>
      <c r="R41" s="343"/>
      <c r="S41" s="344"/>
      <c r="T41" s="343"/>
      <c r="U41" s="338"/>
      <c r="V41" s="344"/>
      <c r="W41" s="344"/>
      <c r="X41" s="338"/>
      <c r="Y41" s="338"/>
      <c r="Z41" s="338"/>
      <c r="AA41" s="338"/>
      <c r="AB41" s="338"/>
      <c r="AC41" s="338"/>
      <c r="AD41" s="338"/>
      <c r="AE41" s="344"/>
      <c r="AF41" s="342">
        <v>12.136363636363635</v>
      </c>
      <c r="AG41" s="343"/>
      <c r="AH41" s="338"/>
      <c r="AI41" s="344"/>
      <c r="AJ41" s="338"/>
      <c r="AK41" s="338"/>
      <c r="AL41" s="338"/>
      <c r="AM41" s="338"/>
      <c r="AN41" s="344"/>
      <c r="AO41" s="345"/>
      <c r="AP41" s="344"/>
      <c r="AQ41" s="346" t="s">
        <v>809</v>
      </c>
      <c r="AR41" s="341" t="s">
        <v>758</v>
      </c>
      <c r="AS41" s="341"/>
      <c r="AT41" s="341"/>
      <c r="AU41" s="341"/>
      <c r="AV41" s="341">
        <v>3</v>
      </c>
      <c r="AW41" s="341"/>
      <c r="AX41" s="341"/>
      <c r="AY41" s="341"/>
      <c r="AZ41" s="341" t="s">
        <v>762</v>
      </c>
      <c r="BA41" s="338"/>
      <c r="BB41" s="341">
        <v>0</v>
      </c>
      <c r="BC41" s="341">
        <v>0</v>
      </c>
      <c r="BD41" s="341">
        <v>0</v>
      </c>
      <c r="BE41" s="341">
        <v>0</v>
      </c>
      <c r="BF41" s="341">
        <v>0</v>
      </c>
      <c r="BG41" s="341">
        <v>0</v>
      </c>
      <c r="BH41" s="341">
        <v>0</v>
      </c>
      <c r="BI41" s="341">
        <v>0</v>
      </c>
      <c r="BJ41" s="341">
        <v>0</v>
      </c>
      <c r="BK41" s="341">
        <v>0</v>
      </c>
      <c r="BL41" s="341"/>
      <c r="BM41" s="341"/>
      <c r="BN41" s="341"/>
      <c r="BO41" s="341" t="s">
        <v>758</v>
      </c>
      <c r="BP41" s="347"/>
      <c r="BQ41" s="341"/>
      <c r="BR41" s="341"/>
      <c r="BS41" s="352"/>
      <c r="BT41" s="352"/>
      <c r="BU41" s="341"/>
      <c r="BV41" s="341" t="s">
        <v>758</v>
      </c>
      <c r="BW41" s="341">
        <v>1</v>
      </c>
      <c r="BX41" s="338" t="s">
        <v>792</v>
      </c>
      <c r="BY41" s="346" t="s">
        <v>825</v>
      </c>
    </row>
    <row r="42" spans="1:77" x14ac:dyDescent="0.15">
      <c r="A42" s="338">
        <v>360</v>
      </c>
      <c r="B42" s="339">
        <v>43200</v>
      </c>
      <c r="C42" s="340" t="s">
        <v>755</v>
      </c>
      <c r="D42" s="338" t="s">
        <v>454</v>
      </c>
      <c r="E42" s="338"/>
      <c r="F42" s="338" t="s">
        <v>808</v>
      </c>
      <c r="G42" s="349">
        <v>42941</v>
      </c>
      <c r="H42" s="341" t="s">
        <v>175</v>
      </c>
      <c r="I42" s="341" t="s">
        <v>174</v>
      </c>
      <c r="J42" s="341">
        <v>18</v>
      </c>
      <c r="K42" s="338" t="s">
        <v>794</v>
      </c>
      <c r="L42" s="338" t="s">
        <v>734</v>
      </c>
      <c r="M42" s="342">
        <v>75</v>
      </c>
      <c r="N42" s="342">
        <v>30.881818181818179</v>
      </c>
      <c r="O42" s="338"/>
      <c r="P42" s="343"/>
      <c r="Q42" s="344"/>
      <c r="R42" s="343"/>
      <c r="S42" s="344"/>
      <c r="T42" s="343"/>
      <c r="U42" s="338"/>
      <c r="V42" s="344"/>
      <c r="W42" s="344"/>
      <c r="X42" s="338"/>
      <c r="Y42" s="338"/>
      <c r="Z42" s="338"/>
      <c r="AA42" s="338"/>
      <c r="AB42" s="338"/>
      <c r="AC42" s="338"/>
      <c r="AD42" s="338"/>
      <c r="AE42" s="344"/>
      <c r="AF42" s="342">
        <v>15.199999999999998</v>
      </c>
      <c r="AG42" s="343"/>
      <c r="AH42" s="338"/>
      <c r="AI42" s="344"/>
      <c r="AJ42" s="338"/>
      <c r="AK42" s="338"/>
      <c r="AL42" s="338"/>
      <c r="AM42" s="338"/>
      <c r="AN42" s="344"/>
      <c r="AO42" s="345"/>
      <c r="AP42" s="344"/>
      <c r="AQ42" s="346" t="s">
        <v>809</v>
      </c>
      <c r="AR42" s="341" t="s">
        <v>758</v>
      </c>
      <c r="AS42" s="341"/>
      <c r="AT42" s="341"/>
      <c r="AU42" s="341"/>
      <c r="AV42" s="341"/>
      <c r="AW42" s="341"/>
      <c r="AX42" s="341"/>
      <c r="AY42" s="341"/>
      <c r="AZ42" s="341" t="s">
        <v>758</v>
      </c>
      <c r="BA42" s="338"/>
      <c r="BB42" s="341">
        <v>0</v>
      </c>
      <c r="BC42" s="341">
        <v>5</v>
      </c>
      <c r="BD42" s="341">
        <v>0</v>
      </c>
      <c r="BE42" s="341">
        <v>0</v>
      </c>
      <c r="BF42" s="341">
        <v>0</v>
      </c>
      <c r="BG42" s="341">
        <v>0</v>
      </c>
      <c r="BH42" s="341">
        <v>0</v>
      </c>
      <c r="BI42" s="341">
        <v>0</v>
      </c>
      <c r="BJ42" s="341">
        <v>0</v>
      </c>
      <c r="BK42" s="341">
        <v>0</v>
      </c>
      <c r="BL42" s="341"/>
      <c r="BM42" s="341"/>
      <c r="BN42" s="341"/>
      <c r="BO42" s="341" t="s">
        <v>758</v>
      </c>
      <c r="BP42" s="347"/>
      <c r="BQ42" s="341"/>
      <c r="BR42" s="341"/>
      <c r="BS42" s="338"/>
      <c r="BT42" s="338"/>
      <c r="BU42" s="341"/>
      <c r="BV42" s="341" t="s">
        <v>758</v>
      </c>
      <c r="BW42" s="341"/>
      <c r="BX42" s="338"/>
      <c r="BY42" s="346" t="s">
        <v>826</v>
      </c>
    </row>
    <row r="43" spans="1:77" x14ac:dyDescent="0.15">
      <c r="A43" s="338">
        <v>17</v>
      </c>
      <c r="B43" s="339">
        <v>43200</v>
      </c>
      <c r="C43" s="340" t="s">
        <v>755</v>
      </c>
      <c r="D43" s="338" t="s">
        <v>454</v>
      </c>
      <c r="E43" s="338"/>
      <c r="F43" s="338" t="s">
        <v>808</v>
      </c>
      <c r="G43" s="339">
        <v>42916</v>
      </c>
      <c r="H43" s="341" t="s">
        <v>757</v>
      </c>
      <c r="I43" s="341" t="s">
        <v>758</v>
      </c>
      <c r="J43" s="341">
        <v>19</v>
      </c>
      <c r="K43" s="338" t="s">
        <v>708</v>
      </c>
      <c r="L43" s="338" t="s">
        <v>709</v>
      </c>
      <c r="M43" s="342">
        <v>87.954545454545453</v>
      </c>
      <c r="N43" s="342">
        <v>34.881818181818176</v>
      </c>
      <c r="O43" s="338"/>
      <c r="P43" s="343"/>
      <c r="Q43" s="344"/>
      <c r="R43" s="343"/>
      <c r="S43" s="344"/>
      <c r="T43" s="343"/>
      <c r="U43" s="338"/>
      <c r="V43" s="344"/>
      <c r="W43" s="344"/>
      <c r="X43" s="338"/>
      <c r="Y43" s="338"/>
      <c r="Z43" s="338"/>
      <c r="AA43" s="338"/>
      <c r="AB43" s="343"/>
      <c r="AC43" s="338"/>
      <c r="AD43" s="338"/>
      <c r="AE43" s="344"/>
      <c r="AF43" s="342">
        <v>14.481818181818181</v>
      </c>
      <c r="AG43" s="343"/>
      <c r="AH43" s="338"/>
      <c r="AI43" s="344"/>
      <c r="AJ43" s="338"/>
      <c r="AK43" s="338"/>
      <c r="AL43" s="338"/>
      <c r="AM43" s="338"/>
      <c r="AN43" s="344"/>
      <c r="AO43" s="345"/>
      <c r="AP43" s="344"/>
      <c r="AQ43" s="338" t="s">
        <v>809</v>
      </c>
      <c r="AR43" s="341" t="s">
        <v>174</v>
      </c>
      <c r="AS43" s="341"/>
      <c r="AT43" s="341"/>
      <c r="AU43" s="341"/>
      <c r="AV43" s="341">
        <v>8</v>
      </c>
      <c r="AW43" s="341"/>
      <c r="AX43" s="341"/>
      <c r="AY43" s="341"/>
      <c r="AZ43" s="341" t="s">
        <v>174</v>
      </c>
      <c r="BA43" s="338"/>
      <c r="BB43" s="341">
        <v>4</v>
      </c>
      <c r="BC43" s="341">
        <v>0</v>
      </c>
      <c r="BD43" s="341">
        <v>10</v>
      </c>
      <c r="BE43" s="341">
        <v>0</v>
      </c>
      <c r="BF43" s="341">
        <v>0</v>
      </c>
      <c r="BG43" s="341">
        <v>0</v>
      </c>
      <c r="BH43" s="341">
        <v>0</v>
      </c>
      <c r="BI43" s="341">
        <v>0</v>
      </c>
      <c r="BJ43" s="341">
        <v>0</v>
      </c>
      <c r="BK43" s="341">
        <v>0</v>
      </c>
      <c r="BL43" s="341"/>
      <c r="BM43" s="341"/>
      <c r="BN43" s="341"/>
      <c r="BO43" s="341" t="s">
        <v>758</v>
      </c>
      <c r="BP43" s="347"/>
      <c r="BQ43" s="341"/>
      <c r="BR43" s="341"/>
      <c r="BS43" s="352"/>
      <c r="BT43" s="352"/>
      <c r="BU43" s="341"/>
      <c r="BV43" s="341" t="s">
        <v>758</v>
      </c>
      <c r="BW43" s="341">
        <v>1</v>
      </c>
      <c r="BX43" s="338"/>
      <c r="BY43" s="338" t="s">
        <v>827</v>
      </c>
    </row>
    <row r="44" spans="1:77" x14ac:dyDescent="0.15">
      <c r="A44" s="338">
        <v>951</v>
      </c>
      <c r="B44" s="339">
        <v>43200</v>
      </c>
      <c r="C44" s="340" t="s">
        <v>755</v>
      </c>
      <c r="D44" s="338" t="s">
        <v>454</v>
      </c>
      <c r="E44" s="338"/>
      <c r="F44" s="338" t="s">
        <v>808</v>
      </c>
      <c r="G44" s="339">
        <v>43006</v>
      </c>
      <c r="H44" s="341" t="s">
        <v>757</v>
      </c>
      <c r="I44" s="341" t="s">
        <v>758</v>
      </c>
      <c r="J44" s="341">
        <v>20</v>
      </c>
      <c r="K44" s="338" t="s">
        <v>795</v>
      </c>
      <c r="L44" s="338" t="s">
        <v>724</v>
      </c>
      <c r="M44" s="342">
        <v>89.999999999999986</v>
      </c>
      <c r="N44" s="342">
        <v>26.36363636363636</v>
      </c>
      <c r="O44" s="338"/>
      <c r="P44" s="343"/>
      <c r="Q44" s="344"/>
      <c r="R44" s="343"/>
      <c r="S44" s="344"/>
      <c r="T44" s="343"/>
      <c r="U44" s="338"/>
      <c r="V44" s="344"/>
      <c r="W44" s="344"/>
      <c r="X44" s="343"/>
      <c r="Y44" s="338"/>
      <c r="Z44" s="343"/>
      <c r="AA44" s="338"/>
      <c r="AB44" s="343"/>
      <c r="AC44" s="338"/>
      <c r="AD44" s="338"/>
      <c r="AE44" s="344"/>
      <c r="AF44" s="342">
        <v>17.27272727272727</v>
      </c>
      <c r="AG44" s="343"/>
      <c r="AH44" s="338"/>
      <c r="AI44" s="344"/>
      <c r="AJ44" s="338"/>
      <c r="AK44" s="338"/>
      <c r="AL44" s="338"/>
      <c r="AM44" s="338"/>
      <c r="AN44" s="344"/>
      <c r="AO44" s="345"/>
      <c r="AP44" s="344"/>
      <c r="AQ44" s="338" t="s">
        <v>809</v>
      </c>
      <c r="AR44" s="341" t="s">
        <v>758</v>
      </c>
      <c r="AS44" s="341"/>
      <c r="AT44" s="341"/>
      <c r="AU44" s="341"/>
      <c r="AV44" s="341">
        <v>7</v>
      </c>
      <c r="AW44" s="341"/>
      <c r="AX44" s="341"/>
      <c r="AY44" s="341"/>
      <c r="AZ44" s="341" t="s">
        <v>174</v>
      </c>
      <c r="BA44" s="338"/>
      <c r="BB44" s="341">
        <v>0</v>
      </c>
      <c r="BC44" s="341">
        <v>0</v>
      </c>
      <c r="BD44" s="341">
        <v>0</v>
      </c>
      <c r="BE44" s="341">
        <v>0</v>
      </c>
      <c r="BF44" s="341">
        <v>0</v>
      </c>
      <c r="BG44" s="341">
        <v>0</v>
      </c>
      <c r="BH44" s="341">
        <v>0</v>
      </c>
      <c r="BI44" s="341">
        <v>0</v>
      </c>
      <c r="BJ44" s="341">
        <v>0</v>
      </c>
      <c r="BK44" s="341">
        <v>0</v>
      </c>
      <c r="BL44" s="341"/>
      <c r="BM44" s="341"/>
      <c r="BN44" s="341"/>
      <c r="BO44" s="341" t="s">
        <v>758</v>
      </c>
      <c r="BP44" s="347"/>
      <c r="BQ44" s="341"/>
      <c r="BR44" s="341"/>
      <c r="BS44" s="338"/>
      <c r="BT44" s="338"/>
      <c r="BU44" s="341"/>
      <c r="BV44" s="341" t="s">
        <v>758</v>
      </c>
      <c r="BW44" s="341">
        <v>1</v>
      </c>
      <c r="BX44" s="338"/>
      <c r="BY44" s="338" t="s">
        <v>828</v>
      </c>
    </row>
    <row r="45" spans="1:77" x14ac:dyDescent="0.15">
      <c r="A45" s="338">
        <v>1918</v>
      </c>
      <c r="B45" s="339">
        <v>43200</v>
      </c>
      <c r="C45" s="340" t="s">
        <v>755</v>
      </c>
      <c r="D45" s="338" t="s">
        <v>454</v>
      </c>
      <c r="E45" s="338"/>
      <c r="F45" s="338" t="s">
        <v>808</v>
      </c>
      <c r="G45" s="349">
        <v>43186</v>
      </c>
      <c r="H45" s="341" t="s">
        <v>757</v>
      </c>
      <c r="I45" s="341" t="s">
        <v>758</v>
      </c>
      <c r="J45" s="341">
        <v>21</v>
      </c>
      <c r="K45" s="338" t="s">
        <v>796</v>
      </c>
      <c r="L45" s="338" t="s">
        <v>797</v>
      </c>
      <c r="M45" s="342">
        <v>80</v>
      </c>
      <c r="N45" s="342">
        <v>29.299999999999994</v>
      </c>
      <c r="O45" s="338"/>
      <c r="P45" s="343"/>
      <c r="Q45" s="344"/>
      <c r="R45" s="343"/>
      <c r="S45" s="344"/>
      <c r="T45" s="343"/>
      <c r="U45" s="338"/>
      <c r="V45" s="344"/>
      <c r="W45" s="344"/>
      <c r="X45" s="338"/>
      <c r="Y45" s="338"/>
      <c r="Z45" s="338"/>
      <c r="AA45" s="338"/>
      <c r="AB45" s="338"/>
      <c r="AC45" s="338"/>
      <c r="AD45" s="338"/>
      <c r="AE45" s="344"/>
      <c r="AF45" s="342">
        <v>15.099999999999998</v>
      </c>
      <c r="AG45" s="343"/>
      <c r="AH45" s="338"/>
      <c r="AI45" s="344"/>
      <c r="AJ45" s="338"/>
      <c r="AK45" s="338"/>
      <c r="AL45" s="338"/>
      <c r="AM45" s="338"/>
      <c r="AN45" s="344"/>
      <c r="AO45" s="345"/>
      <c r="AP45" s="344"/>
      <c r="AQ45" s="338" t="s">
        <v>809</v>
      </c>
      <c r="AR45" s="341" t="s">
        <v>758</v>
      </c>
      <c r="AS45" s="341"/>
      <c r="AT45" s="341"/>
      <c r="AU45" s="341"/>
      <c r="AV45" s="341">
        <v>8</v>
      </c>
      <c r="AW45" s="341"/>
      <c r="AX45" s="341"/>
      <c r="AY45" s="341"/>
      <c r="AZ45" s="341" t="s">
        <v>758</v>
      </c>
      <c r="BA45" s="338"/>
      <c r="BB45" s="341">
        <v>0</v>
      </c>
      <c r="BC45" s="341">
        <v>0</v>
      </c>
      <c r="BD45" s="341">
        <v>0</v>
      </c>
      <c r="BE45" s="341">
        <v>0</v>
      </c>
      <c r="BF45" s="341">
        <v>0</v>
      </c>
      <c r="BG45" s="341">
        <v>0</v>
      </c>
      <c r="BH45" s="341">
        <v>0</v>
      </c>
      <c r="BI45" s="341">
        <v>0</v>
      </c>
      <c r="BJ45" s="341">
        <v>0</v>
      </c>
      <c r="BK45" s="341">
        <v>0</v>
      </c>
      <c r="BL45" s="341"/>
      <c r="BM45" s="341"/>
      <c r="BN45" s="341"/>
      <c r="BO45" s="341" t="s">
        <v>758</v>
      </c>
      <c r="BP45" s="347"/>
      <c r="BQ45" s="341"/>
      <c r="BR45" s="341"/>
      <c r="BS45" s="352"/>
      <c r="BT45" s="352"/>
      <c r="BU45" s="341"/>
      <c r="BV45" s="341" t="s">
        <v>758</v>
      </c>
      <c r="BW45" s="341">
        <v>1</v>
      </c>
      <c r="BX45" s="338"/>
      <c r="BY45" s="338" t="s">
        <v>829</v>
      </c>
    </row>
    <row r="46" spans="1:77" x14ac:dyDescent="0.15">
      <c r="A46" s="338">
        <v>278</v>
      </c>
      <c r="B46" s="339">
        <v>43200</v>
      </c>
      <c r="C46" s="340" t="s">
        <v>755</v>
      </c>
      <c r="D46" s="338" t="s">
        <v>454</v>
      </c>
      <c r="E46" s="338"/>
      <c r="F46" s="338" t="s">
        <v>808</v>
      </c>
      <c r="G46" s="349">
        <v>43026</v>
      </c>
      <c r="H46" s="341" t="s">
        <v>175</v>
      </c>
      <c r="I46" s="341" t="s">
        <v>174</v>
      </c>
      <c r="J46" s="341">
        <v>23</v>
      </c>
      <c r="K46" s="338" t="s">
        <v>802</v>
      </c>
      <c r="L46" s="338" t="s">
        <v>803</v>
      </c>
      <c r="M46" s="342">
        <v>95.645454545454527</v>
      </c>
      <c r="N46" s="342">
        <v>29.936363636363634</v>
      </c>
      <c r="O46" s="338"/>
      <c r="P46" s="343"/>
      <c r="Q46" s="344"/>
      <c r="R46" s="343"/>
      <c r="S46" s="344"/>
      <c r="T46" s="343"/>
      <c r="U46" s="338"/>
      <c r="V46" s="344"/>
      <c r="W46" s="344"/>
      <c r="X46" s="338"/>
      <c r="Y46" s="338"/>
      <c r="Z46" s="338"/>
      <c r="AA46" s="338"/>
      <c r="AB46" s="338"/>
      <c r="AC46" s="338"/>
      <c r="AD46" s="338"/>
      <c r="AE46" s="344"/>
      <c r="AF46" s="342">
        <v>14.909090909090907</v>
      </c>
      <c r="AG46" s="343"/>
      <c r="AH46" s="338"/>
      <c r="AI46" s="344"/>
      <c r="AJ46" s="338"/>
      <c r="AK46" s="338"/>
      <c r="AL46" s="338"/>
      <c r="AM46" s="338"/>
      <c r="AN46" s="344"/>
      <c r="AO46" s="345"/>
      <c r="AP46" s="344"/>
      <c r="AQ46" s="338" t="s">
        <v>809</v>
      </c>
      <c r="AR46" s="341" t="s">
        <v>758</v>
      </c>
      <c r="AS46" s="341"/>
      <c r="AT46" s="341"/>
      <c r="AU46" s="341"/>
      <c r="AV46" s="341">
        <v>7</v>
      </c>
      <c r="AW46" s="341"/>
      <c r="AX46" s="341"/>
      <c r="AY46" s="341"/>
      <c r="AZ46" s="341" t="s">
        <v>758</v>
      </c>
      <c r="BA46" s="338"/>
      <c r="BB46" s="341">
        <v>0</v>
      </c>
      <c r="BC46" s="341">
        <v>0</v>
      </c>
      <c r="BD46" s="341">
        <v>0</v>
      </c>
      <c r="BE46" s="341">
        <v>0</v>
      </c>
      <c r="BF46" s="341">
        <v>0</v>
      </c>
      <c r="BG46" s="341">
        <v>0</v>
      </c>
      <c r="BH46" s="341">
        <v>0</v>
      </c>
      <c r="BI46" s="341">
        <v>0</v>
      </c>
      <c r="BJ46" s="341">
        <v>0</v>
      </c>
      <c r="BK46" s="341">
        <v>0</v>
      </c>
      <c r="BL46" s="341"/>
      <c r="BM46" s="341"/>
      <c r="BN46" s="341"/>
      <c r="BO46" s="341" t="s">
        <v>758</v>
      </c>
      <c r="BP46" s="354">
        <v>141.81818181818181</v>
      </c>
      <c r="BQ46" s="341"/>
      <c r="BR46" s="341"/>
      <c r="BS46" s="338"/>
      <c r="BT46" s="338"/>
      <c r="BU46" s="341"/>
      <c r="BV46" s="341" t="s">
        <v>758</v>
      </c>
      <c r="BW46" s="341">
        <v>1</v>
      </c>
      <c r="BX46" s="338"/>
      <c r="BY46" s="346" t="s">
        <v>830</v>
      </c>
    </row>
    <row r="47" spans="1:77" x14ac:dyDescent="0.15">
      <c r="A47" s="338">
        <v>1240</v>
      </c>
      <c r="B47" s="339">
        <v>43200</v>
      </c>
      <c r="C47" s="340" t="s">
        <v>755</v>
      </c>
      <c r="D47" s="338" t="s">
        <v>454</v>
      </c>
      <c r="E47" s="338"/>
      <c r="F47" s="338" t="s">
        <v>808</v>
      </c>
      <c r="G47" s="339">
        <v>43117</v>
      </c>
      <c r="H47" s="341" t="s">
        <v>757</v>
      </c>
      <c r="I47" s="341" t="s">
        <v>758</v>
      </c>
      <c r="J47" s="341">
        <v>24</v>
      </c>
      <c r="K47" s="338" t="s">
        <v>805</v>
      </c>
      <c r="L47" s="338" t="s">
        <v>806</v>
      </c>
      <c r="M47" s="342">
        <v>83.6</v>
      </c>
      <c r="N47" s="342">
        <v>29.999999999999996</v>
      </c>
      <c r="O47" s="338"/>
      <c r="P47" s="343"/>
      <c r="Q47" s="344"/>
      <c r="R47" s="343"/>
      <c r="S47" s="344"/>
      <c r="T47" s="343"/>
      <c r="U47" s="338"/>
      <c r="V47" s="344"/>
      <c r="W47" s="344"/>
      <c r="X47" s="343"/>
      <c r="Y47" s="338"/>
      <c r="Z47" s="343"/>
      <c r="AA47" s="338"/>
      <c r="AB47" s="343"/>
      <c r="AC47" s="338"/>
      <c r="AD47" s="338"/>
      <c r="AE47" s="344"/>
      <c r="AF47" s="342">
        <v>21.499999999999996</v>
      </c>
      <c r="AG47" s="343"/>
      <c r="AH47" s="338"/>
      <c r="AI47" s="344"/>
      <c r="AJ47" s="338"/>
      <c r="AK47" s="338"/>
      <c r="AL47" s="338"/>
      <c r="AM47" s="338"/>
      <c r="AN47" s="344"/>
      <c r="AO47" s="345"/>
      <c r="AP47" s="344"/>
      <c r="AQ47" s="338" t="s">
        <v>809</v>
      </c>
      <c r="AR47" s="341" t="s">
        <v>758</v>
      </c>
      <c r="AS47" s="341"/>
      <c r="AT47" s="341"/>
      <c r="AU47" s="341"/>
      <c r="AV47" s="341">
        <v>7</v>
      </c>
      <c r="AW47" s="341"/>
      <c r="AX47" s="341"/>
      <c r="AY47" s="341"/>
      <c r="AZ47" s="341" t="s">
        <v>758</v>
      </c>
      <c r="BA47" s="338"/>
      <c r="BB47" s="341">
        <v>0</v>
      </c>
      <c r="BC47" s="341">
        <v>0</v>
      </c>
      <c r="BD47" s="341">
        <v>0</v>
      </c>
      <c r="BE47" s="341">
        <v>0</v>
      </c>
      <c r="BF47" s="341">
        <v>0</v>
      </c>
      <c r="BG47" s="341">
        <v>0</v>
      </c>
      <c r="BH47" s="341">
        <v>0</v>
      </c>
      <c r="BI47" s="341">
        <v>0</v>
      </c>
      <c r="BJ47" s="341">
        <v>0</v>
      </c>
      <c r="BK47" s="341">
        <v>0</v>
      </c>
      <c r="BL47" s="341"/>
      <c r="BM47" s="341"/>
      <c r="BN47" s="341"/>
      <c r="BO47" s="341" t="s">
        <v>758</v>
      </c>
      <c r="BP47" s="347"/>
      <c r="BQ47" s="341"/>
      <c r="BR47" s="341"/>
      <c r="BS47" s="338"/>
      <c r="BT47" s="338"/>
      <c r="BU47" s="341"/>
      <c r="BV47" s="341" t="s">
        <v>758</v>
      </c>
      <c r="BW47" s="341"/>
      <c r="BX47" s="338"/>
      <c r="BY47" s="346" t="s">
        <v>831</v>
      </c>
    </row>
    <row r="48" spans="1:77" x14ac:dyDescent="0.15">
      <c r="A48" s="338">
        <v>1916</v>
      </c>
      <c r="B48" s="339">
        <v>43200</v>
      </c>
      <c r="C48" s="340" t="s">
        <v>755</v>
      </c>
      <c r="D48" s="338" t="s">
        <v>454</v>
      </c>
      <c r="E48" s="338"/>
      <c r="F48" s="338" t="s">
        <v>750</v>
      </c>
      <c r="G48" s="339">
        <v>43194</v>
      </c>
      <c r="H48" s="341" t="s">
        <v>757</v>
      </c>
      <c r="I48" s="341" t="s">
        <v>758</v>
      </c>
      <c r="J48" s="341">
        <v>1</v>
      </c>
      <c r="K48" s="338" t="s">
        <v>759</v>
      </c>
      <c r="L48" s="338" t="s">
        <v>760</v>
      </c>
      <c r="M48" s="342">
        <v>111.32727272727271</v>
      </c>
      <c r="N48" s="342">
        <v>37.618181818181817</v>
      </c>
      <c r="O48" s="338"/>
      <c r="P48" s="343"/>
      <c r="Q48" s="344"/>
      <c r="R48" s="343"/>
      <c r="S48" s="344"/>
      <c r="T48" s="343"/>
      <c r="U48" s="338"/>
      <c r="V48" s="344"/>
      <c r="W48" s="342">
        <v>25.072727272727271</v>
      </c>
      <c r="X48" s="343"/>
      <c r="Y48" s="338"/>
      <c r="Z48" s="343"/>
      <c r="AA48" s="338"/>
      <c r="AB48" s="343"/>
      <c r="AC48" s="338"/>
      <c r="AD48" s="338"/>
      <c r="AE48" s="344"/>
      <c r="AF48" s="344"/>
      <c r="AG48" s="343"/>
      <c r="AH48" s="338"/>
      <c r="AI48" s="342">
        <v>31.072727272727271</v>
      </c>
      <c r="AJ48" s="338"/>
      <c r="AK48" s="338"/>
      <c r="AL48" s="338"/>
      <c r="AM48" s="338"/>
      <c r="AN48" s="344"/>
      <c r="AO48" s="345"/>
      <c r="AP48" s="344"/>
      <c r="AQ48" s="145" t="s">
        <v>832</v>
      </c>
      <c r="AR48" s="341" t="s">
        <v>174</v>
      </c>
      <c r="AS48" s="341"/>
      <c r="AT48" s="341"/>
      <c r="AU48" s="341"/>
      <c r="AV48" s="341">
        <v>5</v>
      </c>
      <c r="AW48" s="341"/>
      <c r="AX48" s="341"/>
      <c r="AY48" s="341"/>
      <c r="AZ48" s="341" t="s">
        <v>762</v>
      </c>
      <c r="BA48" s="338"/>
      <c r="BB48" s="341">
        <v>0</v>
      </c>
      <c r="BC48" s="341">
        <v>0</v>
      </c>
      <c r="BD48" s="341">
        <v>0</v>
      </c>
      <c r="BE48" s="341">
        <v>0</v>
      </c>
      <c r="BF48" s="341">
        <v>0</v>
      </c>
      <c r="BG48" s="341">
        <v>0</v>
      </c>
      <c r="BH48" s="341">
        <v>0</v>
      </c>
      <c r="BI48" s="341">
        <v>0</v>
      </c>
      <c r="BJ48" s="341">
        <v>0</v>
      </c>
      <c r="BK48" s="341">
        <v>0</v>
      </c>
      <c r="BL48" s="341">
        <v>12</v>
      </c>
      <c r="BM48" s="341"/>
      <c r="BN48" s="341">
        <v>12</v>
      </c>
      <c r="BO48" s="341" t="s">
        <v>758</v>
      </c>
      <c r="BP48" s="347"/>
      <c r="BQ48" s="341"/>
      <c r="BR48" s="341"/>
      <c r="BS48" s="338"/>
      <c r="BT48" s="338"/>
      <c r="BU48" s="341"/>
      <c r="BV48" s="341" t="s">
        <v>758</v>
      </c>
      <c r="BW48" s="341"/>
      <c r="BX48" s="338" t="s">
        <v>763</v>
      </c>
      <c r="BY48" s="352" t="s">
        <v>76</v>
      </c>
    </row>
    <row r="49" spans="1:77" x14ac:dyDescent="0.15">
      <c r="A49" s="338">
        <v>953</v>
      </c>
      <c r="B49" s="339">
        <v>43200</v>
      </c>
      <c r="C49" s="340" t="s">
        <v>755</v>
      </c>
      <c r="D49" s="338" t="s">
        <v>454</v>
      </c>
      <c r="E49" s="338"/>
      <c r="F49" s="338" t="s">
        <v>750</v>
      </c>
      <c r="G49" s="339">
        <v>43006</v>
      </c>
      <c r="H49" s="341" t="s">
        <v>757</v>
      </c>
      <c r="I49" s="341" t="s">
        <v>758</v>
      </c>
      <c r="J49" s="341">
        <v>20</v>
      </c>
      <c r="K49" s="338" t="s">
        <v>795</v>
      </c>
      <c r="L49" s="338" t="s">
        <v>724</v>
      </c>
      <c r="M49" s="342">
        <v>89.999999999999986</v>
      </c>
      <c r="N49" s="342">
        <v>31.818181818181817</v>
      </c>
      <c r="O49" s="338"/>
      <c r="P49" s="343"/>
      <c r="Q49" s="344"/>
      <c r="R49" s="343"/>
      <c r="S49" s="344"/>
      <c r="T49" s="343"/>
      <c r="U49" s="338"/>
      <c r="V49" s="344"/>
      <c r="W49" s="342">
        <v>24.59090909090909</v>
      </c>
      <c r="X49" s="343"/>
      <c r="Y49" s="338"/>
      <c r="Z49" s="343"/>
      <c r="AA49" s="338"/>
      <c r="AB49" s="343"/>
      <c r="AC49" s="338"/>
      <c r="AD49" s="338"/>
      <c r="AE49" s="344"/>
      <c r="AF49" s="344"/>
      <c r="AG49" s="343"/>
      <c r="AH49" s="338"/>
      <c r="AI49" s="342">
        <v>29.09090909090909</v>
      </c>
      <c r="AJ49" s="338"/>
      <c r="AK49" s="338"/>
      <c r="AL49" s="338"/>
      <c r="AM49" s="338"/>
      <c r="AN49" s="344"/>
      <c r="AO49" s="345"/>
      <c r="AP49" s="344"/>
      <c r="AQ49" s="356" t="s">
        <v>833</v>
      </c>
      <c r="AR49" s="341" t="s">
        <v>758</v>
      </c>
      <c r="AS49" s="341"/>
      <c r="AT49" s="341"/>
      <c r="AU49" s="341"/>
      <c r="AV49" s="341">
        <v>7</v>
      </c>
      <c r="AW49" s="341"/>
      <c r="AX49" s="341"/>
      <c r="AY49" s="341"/>
      <c r="AZ49" s="341" t="s">
        <v>174</v>
      </c>
      <c r="BA49" s="338"/>
      <c r="BB49" s="341">
        <v>0</v>
      </c>
      <c r="BC49" s="341">
        <v>0</v>
      </c>
      <c r="BD49" s="341">
        <v>0</v>
      </c>
      <c r="BE49" s="341">
        <v>0</v>
      </c>
      <c r="BF49" s="341">
        <v>0</v>
      </c>
      <c r="BG49" s="341">
        <v>0</v>
      </c>
      <c r="BH49" s="341">
        <v>0</v>
      </c>
      <c r="BI49" s="341">
        <v>0</v>
      </c>
      <c r="BJ49" s="341">
        <v>0</v>
      </c>
      <c r="BK49" s="341">
        <v>0</v>
      </c>
      <c r="BL49" s="341"/>
      <c r="BM49" s="341"/>
      <c r="BN49" s="341"/>
      <c r="BO49" s="341" t="s">
        <v>758</v>
      </c>
      <c r="BP49" s="347"/>
      <c r="BQ49" s="341"/>
      <c r="BR49" s="341"/>
      <c r="BS49" s="338"/>
      <c r="BT49" s="338"/>
      <c r="BU49" s="341"/>
      <c r="BV49" s="341" t="s">
        <v>758</v>
      </c>
      <c r="BW49" s="341">
        <v>1</v>
      </c>
      <c r="BX49" s="338"/>
      <c r="BY49" s="338" t="s">
        <v>834</v>
      </c>
    </row>
    <row r="50" spans="1:77" x14ac:dyDescent="0.15">
      <c r="A50" s="338">
        <v>280</v>
      </c>
      <c r="B50" s="339">
        <v>43200</v>
      </c>
      <c r="C50" s="340" t="s">
        <v>755</v>
      </c>
      <c r="D50" s="338" t="s">
        <v>454</v>
      </c>
      <c r="E50" s="338"/>
      <c r="F50" s="338" t="s">
        <v>750</v>
      </c>
      <c r="G50" s="349">
        <v>43026</v>
      </c>
      <c r="H50" s="341" t="s">
        <v>175</v>
      </c>
      <c r="I50" s="341" t="s">
        <v>174</v>
      </c>
      <c r="J50" s="341">
        <v>23</v>
      </c>
      <c r="K50" s="338" t="s">
        <v>802</v>
      </c>
      <c r="L50" s="338" t="s">
        <v>803</v>
      </c>
      <c r="M50" s="342">
        <v>95.645454545454527</v>
      </c>
      <c r="N50" s="342">
        <v>37.272727272727266</v>
      </c>
      <c r="O50" s="338"/>
      <c r="P50" s="343"/>
      <c r="Q50" s="344"/>
      <c r="R50" s="343"/>
      <c r="S50" s="344"/>
      <c r="T50" s="343"/>
      <c r="U50" s="338"/>
      <c r="V50" s="344"/>
      <c r="W50" s="342">
        <v>24.59090909090909</v>
      </c>
      <c r="X50" s="338"/>
      <c r="Y50" s="338"/>
      <c r="Z50" s="338"/>
      <c r="AA50" s="338"/>
      <c r="AB50" s="338"/>
      <c r="AC50" s="338"/>
      <c r="AD50" s="338"/>
      <c r="AE50" s="344"/>
      <c r="AF50" s="344"/>
      <c r="AG50" s="343"/>
      <c r="AH50" s="338"/>
      <c r="AI50" s="342">
        <v>30.36363636363636</v>
      </c>
      <c r="AJ50" s="338"/>
      <c r="AK50" s="338"/>
      <c r="AL50" s="338"/>
      <c r="AM50" s="338"/>
      <c r="AN50" s="344"/>
      <c r="AO50" s="345"/>
      <c r="AP50" s="344"/>
      <c r="AQ50" s="356" t="s">
        <v>835</v>
      </c>
      <c r="AR50" s="341" t="s">
        <v>758</v>
      </c>
      <c r="AS50" s="341"/>
      <c r="AT50" s="341"/>
      <c r="AU50" s="341"/>
      <c r="AV50" s="341">
        <v>7</v>
      </c>
      <c r="AW50" s="341"/>
      <c r="AX50" s="341"/>
      <c r="AY50" s="341"/>
      <c r="AZ50" s="341" t="s">
        <v>758</v>
      </c>
      <c r="BA50" s="338"/>
      <c r="BB50" s="341">
        <v>0</v>
      </c>
      <c r="BC50" s="341">
        <v>0</v>
      </c>
      <c r="BD50" s="341">
        <v>0</v>
      </c>
      <c r="BE50" s="341">
        <v>0</v>
      </c>
      <c r="BF50" s="341">
        <v>0</v>
      </c>
      <c r="BG50" s="341">
        <v>0</v>
      </c>
      <c r="BH50" s="341">
        <v>0</v>
      </c>
      <c r="BI50" s="341">
        <v>0</v>
      </c>
      <c r="BJ50" s="341">
        <v>0</v>
      </c>
      <c r="BK50" s="341">
        <v>0</v>
      </c>
      <c r="BL50" s="341"/>
      <c r="BM50" s="341"/>
      <c r="BN50" s="341"/>
      <c r="BO50" s="341" t="s">
        <v>758</v>
      </c>
      <c r="BP50" s="354">
        <v>141.81818181818181</v>
      </c>
      <c r="BQ50" s="341"/>
      <c r="BR50" s="341"/>
      <c r="BS50" s="338"/>
      <c r="BT50" s="338"/>
      <c r="BU50" s="341"/>
      <c r="BV50" s="341" t="s">
        <v>758</v>
      </c>
      <c r="BW50" s="341">
        <v>1</v>
      </c>
      <c r="BX50" s="338"/>
      <c r="BY50" s="338" t="s">
        <v>836</v>
      </c>
    </row>
    <row r="51" spans="1:77" x14ac:dyDescent="0.15">
      <c r="A51" s="338">
        <v>208</v>
      </c>
      <c r="B51" s="339">
        <v>43200</v>
      </c>
      <c r="C51" s="340" t="s">
        <v>755</v>
      </c>
      <c r="D51" s="338" t="s">
        <v>454</v>
      </c>
      <c r="E51" s="338"/>
      <c r="F51" s="338" t="s">
        <v>837</v>
      </c>
      <c r="G51" s="349">
        <v>43060</v>
      </c>
      <c r="H51" s="341" t="s">
        <v>175</v>
      </c>
      <c r="I51" s="341" t="s">
        <v>174</v>
      </c>
      <c r="J51" s="341">
        <v>2</v>
      </c>
      <c r="K51" s="338" t="s">
        <v>765</v>
      </c>
      <c r="L51" s="338" t="s">
        <v>766</v>
      </c>
      <c r="M51" s="342">
        <v>89.781818181818181</v>
      </c>
      <c r="N51" s="342">
        <v>31.236363636363635</v>
      </c>
      <c r="O51" s="338"/>
      <c r="P51" s="343"/>
      <c r="Q51" s="344"/>
      <c r="R51" s="343"/>
      <c r="S51" s="344"/>
      <c r="T51" s="343"/>
      <c r="U51" s="338"/>
      <c r="V51" s="344"/>
      <c r="W51" s="342">
        <v>18.654545454545453</v>
      </c>
      <c r="X51" s="338"/>
      <c r="Y51" s="338"/>
      <c r="Z51" s="338"/>
      <c r="AA51" s="338"/>
      <c r="AB51" s="338"/>
      <c r="AC51" s="338"/>
      <c r="AD51" s="338"/>
      <c r="AE51" s="344"/>
      <c r="AF51" s="344"/>
      <c r="AG51" s="343"/>
      <c r="AH51" s="338"/>
      <c r="AI51" s="344"/>
      <c r="AJ51" s="338"/>
      <c r="AK51" s="338"/>
      <c r="AL51" s="338"/>
      <c r="AM51" s="338"/>
      <c r="AN51" s="344"/>
      <c r="AO51" s="345"/>
      <c r="AP51" s="344"/>
      <c r="AQ51" s="338" t="s">
        <v>838</v>
      </c>
      <c r="AR51" s="341" t="s">
        <v>758</v>
      </c>
      <c r="AS51" s="341"/>
      <c r="AT51" s="341"/>
      <c r="AU51" s="341"/>
      <c r="AV51" s="341">
        <v>8</v>
      </c>
      <c r="AW51" s="341"/>
      <c r="AX51" s="341"/>
      <c r="AY51" s="341"/>
      <c r="AZ51" s="341" t="s">
        <v>758</v>
      </c>
      <c r="BA51" s="338"/>
      <c r="BB51" s="341">
        <v>0</v>
      </c>
      <c r="BC51" s="341">
        <v>0</v>
      </c>
      <c r="BD51" s="341">
        <v>0</v>
      </c>
      <c r="BE51" s="341">
        <v>0</v>
      </c>
      <c r="BF51" s="341">
        <v>0</v>
      </c>
      <c r="BG51" s="341">
        <v>0</v>
      </c>
      <c r="BH51" s="341">
        <v>0</v>
      </c>
      <c r="BI51" s="341">
        <v>0</v>
      </c>
      <c r="BJ51" s="341">
        <v>0</v>
      </c>
      <c r="BK51" s="341">
        <v>0</v>
      </c>
      <c r="BL51" s="341"/>
      <c r="BM51" s="341"/>
      <c r="BN51" s="341"/>
      <c r="BO51" s="341" t="s">
        <v>758</v>
      </c>
      <c r="BP51" s="347"/>
      <c r="BQ51" s="341"/>
      <c r="BR51" s="341"/>
      <c r="BS51" s="338"/>
      <c r="BT51" s="338"/>
      <c r="BU51" s="341"/>
      <c r="BV51" s="341" t="s">
        <v>758</v>
      </c>
      <c r="BW51" s="341">
        <v>1</v>
      </c>
      <c r="BX51" s="338"/>
      <c r="BY51" s="338" t="s">
        <v>839</v>
      </c>
    </row>
    <row r="52" spans="1:77" x14ac:dyDescent="0.15">
      <c r="A52" s="338">
        <v>433</v>
      </c>
      <c r="B52" s="339">
        <v>43200</v>
      </c>
      <c r="C52" s="340" t="s">
        <v>755</v>
      </c>
      <c r="D52" s="338" t="s">
        <v>454</v>
      </c>
      <c r="E52" s="338"/>
      <c r="F52" s="338" t="s">
        <v>837</v>
      </c>
      <c r="G52" s="339">
        <v>42948</v>
      </c>
      <c r="H52" s="341" t="s">
        <v>757</v>
      </c>
      <c r="I52" s="341" t="s">
        <v>758</v>
      </c>
      <c r="J52" s="341">
        <v>3</v>
      </c>
      <c r="K52" s="338" t="s">
        <v>768</v>
      </c>
      <c r="L52" s="338" t="s">
        <v>517</v>
      </c>
      <c r="M52" s="342">
        <v>88.936363636363623</v>
      </c>
      <c r="N52" s="342">
        <v>35.609090909090909</v>
      </c>
      <c r="O52" s="24" t="s">
        <v>518</v>
      </c>
      <c r="P52" s="25">
        <v>1000</v>
      </c>
      <c r="Q52" s="342">
        <v>38.954545454545453</v>
      </c>
      <c r="R52" s="343">
        <v>1500</v>
      </c>
      <c r="S52" s="342">
        <v>41.890909090909084</v>
      </c>
      <c r="T52" s="343"/>
      <c r="U52" s="338"/>
      <c r="V52" s="344"/>
      <c r="W52" s="342">
        <v>22.536363636363635</v>
      </c>
      <c r="X52" s="338"/>
      <c r="Y52" s="338"/>
      <c r="Z52" s="338"/>
      <c r="AA52" s="338"/>
      <c r="AB52" s="338"/>
      <c r="AC52" s="338"/>
      <c r="AD52" s="338"/>
      <c r="AE52" s="344"/>
      <c r="AF52" s="344"/>
      <c r="AG52" s="343"/>
      <c r="AH52" s="338"/>
      <c r="AI52" s="344"/>
      <c r="AJ52" s="338"/>
      <c r="AK52" s="338"/>
      <c r="AL52" s="338"/>
      <c r="AM52" s="338"/>
      <c r="AN52" s="344"/>
      <c r="AO52" s="345"/>
      <c r="AP52" s="344"/>
      <c r="AQ52" s="338" t="s">
        <v>838</v>
      </c>
      <c r="AR52" s="341" t="s">
        <v>758</v>
      </c>
      <c r="AS52" s="341"/>
      <c r="AT52" s="341"/>
      <c r="AU52" s="341"/>
      <c r="AV52" s="341">
        <v>7</v>
      </c>
      <c r="AW52" s="341"/>
      <c r="AX52" s="341"/>
      <c r="AY52" s="341"/>
      <c r="AZ52" s="341" t="s">
        <v>762</v>
      </c>
      <c r="BA52" s="338"/>
      <c r="BB52" s="341">
        <v>0</v>
      </c>
      <c r="BC52" s="341">
        <v>0</v>
      </c>
      <c r="BD52" s="341">
        <v>7</v>
      </c>
      <c r="BE52" s="341">
        <v>0</v>
      </c>
      <c r="BF52" s="341">
        <v>0</v>
      </c>
      <c r="BG52" s="341">
        <v>0</v>
      </c>
      <c r="BH52" s="341">
        <v>0</v>
      </c>
      <c r="BI52" s="341">
        <v>0</v>
      </c>
      <c r="BJ52" s="341">
        <v>0</v>
      </c>
      <c r="BK52" s="341">
        <v>0</v>
      </c>
      <c r="BL52" s="341"/>
      <c r="BM52" s="341"/>
      <c r="BN52" s="341"/>
      <c r="BO52" s="341" t="s">
        <v>758</v>
      </c>
      <c r="BP52" s="347"/>
      <c r="BQ52" s="341"/>
      <c r="BR52" s="341"/>
      <c r="BS52" s="338"/>
      <c r="BT52" s="338"/>
      <c r="BU52" s="341"/>
      <c r="BV52" s="341" t="s">
        <v>758</v>
      </c>
      <c r="BW52" s="341"/>
      <c r="BX52" s="338"/>
      <c r="BY52" s="338" t="s">
        <v>840</v>
      </c>
    </row>
    <row r="53" spans="1:77" x14ac:dyDescent="0.15">
      <c r="A53" s="338">
        <v>763</v>
      </c>
      <c r="B53" s="339">
        <v>43200</v>
      </c>
      <c r="C53" s="340" t="s">
        <v>755</v>
      </c>
      <c r="D53" s="338" t="s">
        <v>454</v>
      </c>
      <c r="E53" s="338"/>
      <c r="F53" s="338" t="s">
        <v>417</v>
      </c>
      <c r="G53" s="339">
        <v>43008</v>
      </c>
      <c r="H53" s="341" t="s">
        <v>757</v>
      </c>
      <c r="I53" s="341" t="s">
        <v>758</v>
      </c>
      <c r="J53" s="341">
        <v>4</v>
      </c>
      <c r="K53" s="338" t="s">
        <v>769</v>
      </c>
      <c r="L53" s="338" t="s">
        <v>520</v>
      </c>
      <c r="M53" s="342">
        <v>98.499999999999986</v>
      </c>
      <c r="N53" s="342">
        <v>39.099999999999994</v>
      </c>
      <c r="O53" s="338"/>
      <c r="P53" s="343"/>
      <c r="Q53" s="344"/>
      <c r="R53" s="343"/>
      <c r="S53" s="344"/>
      <c r="T53" s="343"/>
      <c r="U53" s="338"/>
      <c r="V53" s="344"/>
      <c r="W53" s="342">
        <v>24.990909090909089</v>
      </c>
      <c r="X53" s="343"/>
      <c r="Y53" s="338"/>
      <c r="Z53" s="343"/>
      <c r="AA53" s="338"/>
      <c r="AB53" s="343"/>
      <c r="AC53" s="338"/>
      <c r="AD53" s="338"/>
      <c r="AE53" s="344"/>
      <c r="AF53" s="344"/>
      <c r="AG53" s="343"/>
      <c r="AH53" s="338"/>
      <c r="AI53" s="344"/>
      <c r="AJ53" s="338"/>
      <c r="AK53" s="338"/>
      <c r="AL53" s="338"/>
      <c r="AM53" s="338"/>
      <c r="AN53" s="344"/>
      <c r="AO53" s="345"/>
      <c r="AP53" s="344"/>
      <c r="AQ53" s="346" t="s">
        <v>838</v>
      </c>
      <c r="AR53" s="341" t="s">
        <v>758</v>
      </c>
      <c r="AS53" s="341"/>
      <c r="AT53" s="341"/>
      <c r="AU53" s="341"/>
      <c r="AV53" s="341">
        <v>9.35</v>
      </c>
      <c r="AW53" s="341"/>
      <c r="AX53" s="341"/>
      <c r="AY53" s="341"/>
      <c r="AZ53" s="341" t="s">
        <v>762</v>
      </c>
      <c r="BA53" s="338"/>
      <c r="BB53" s="341">
        <v>3</v>
      </c>
      <c r="BC53" s="341">
        <v>0</v>
      </c>
      <c r="BD53" s="341">
        <v>0</v>
      </c>
      <c r="BE53" s="341">
        <v>0</v>
      </c>
      <c r="BF53" s="341">
        <v>0</v>
      </c>
      <c r="BG53" s="341">
        <v>0</v>
      </c>
      <c r="BH53" s="341">
        <v>0</v>
      </c>
      <c r="BI53" s="341">
        <v>0</v>
      </c>
      <c r="BJ53" s="341">
        <v>0</v>
      </c>
      <c r="BK53" s="341">
        <v>0</v>
      </c>
      <c r="BL53" s="341"/>
      <c r="BM53" s="341"/>
      <c r="BN53" s="341">
        <v>12</v>
      </c>
      <c r="BO53" s="341" t="s">
        <v>758</v>
      </c>
      <c r="BP53" s="347"/>
      <c r="BQ53" s="341">
        <v>12</v>
      </c>
      <c r="BR53" s="341"/>
      <c r="BS53" s="338"/>
      <c r="BT53" s="338"/>
      <c r="BU53" s="341"/>
      <c r="BV53" s="341" t="s">
        <v>758</v>
      </c>
      <c r="BW53" s="341">
        <v>1</v>
      </c>
      <c r="BX53" s="338"/>
      <c r="BY53" s="346" t="s">
        <v>841</v>
      </c>
    </row>
    <row r="54" spans="1:77" x14ac:dyDescent="0.15">
      <c r="A54" s="338">
        <v>978</v>
      </c>
      <c r="B54" s="339">
        <v>43200</v>
      </c>
      <c r="C54" s="340" t="s">
        <v>755</v>
      </c>
      <c r="D54" s="338" t="s">
        <v>454</v>
      </c>
      <c r="E54" s="338"/>
      <c r="F54" s="338" t="s">
        <v>417</v>
      </c>
      <c r="G54" s="339">
        <v>42964</v>
      </c>
      <c r="H54" s="341" t="s">
        <v>757</v>
      </c>
      <c r="I54" s="341" t="s">
        <v>758</v>
      </c>
      <c r="J54" s="341">
        <v>5</v>
      </c>
      <c r="K54" s="338" t="s">
        <v>302</v>
      </c>
      <c r="L54" s="338" t="s">
        <v>521</v>
      </c>
      <c r="M54" s="342">
        <v>86.018181818181816</v>
      </c>
      <c r="N54" s="342">
        <v>34.799999999999997</v>
      </c>
      <c r="O54" s="338"/>
      <c r="P54" s="343"/>
      <c r="Q54" s="344"/>
      <c r="R54" s="343"/>
      <c r="S54" s="344"/>
      <c r="T54" s="343"/>
      <c r="U54" s="338"/>
      <c r="V54" s="344"/>
      <c r="W54" s="342">
        <v>23.509090909090908</v>
      </c>
      <c r="X54" s="338"/>
      <c r="Y54" s="338"/>
      <c r="Z54" s="338"/>
      <c r="AA54" s="338"/>
      <c r="AB54" s="338"/>
      <c r="AC54" s="338"/>
      <c r="AD54" s="338"/>
      <c r="AE54" s="344"/>
      <c r="AF54" s="344"/>
      <c r="AG54" s="343"/>
      <c r="AH54" s="338"/>
      <c r="AI54" s="344"/>
      <c r="AJ54" s="338"/>
      <c r="AK54" s="338"/>
      <c r="AL54" s="338"/>
      <c r="AM54" s="338"/>
      <c r="AN54" s="344"/>
      <c r="AO54" s="345"/>
      <c r="AP54" s="344"/>
      <c r="AQ54" s="346" t="s">
        <v>838</v>
      </c>
      <c r="AR54" s="341" t="s">
        <v>758</v>
      </c>
      <c r="AS54" s="341"/>
      <c r="AT54" s="341"/>
      <c r="AU54" s="341"/>
      <c r="AV54" s="341">
        <v>3</v>
      </c>
      <c r="AW54" s="341"/>
      <c r="AX54" s="341"/>
      <c r="AY54" s="341"/>
      <c r="AZ54" s="341" t="s">
        <v>361</v>
      </c>
      <c r="BA54" s="338"/>
      <c r="BB54" s="341">
        <v>0</v>
      </c>
      <c r="BC54" s="341">
        <v>0</v>
      </c>
      <c r="BD54" s="341">
        <v>0</v>
      </c>
      <c r="BE54" s="341">
        <v>0</v>
      </c>
      <c r="BF54" s="341">
        <v>0</v>
      </c>
      <c r="BG54" s="341">
        <v>0</v>
      </c>
      <c r="BH54" s="341">
        <v>0</v>
      </c>
      <c r="BI54" s="341">
        <v>0</v>
      </c>
      <c r="BJ54" s="341">
        <v>0</v>
      </c>
      <c r="BK54" s="341">
        <v>0</v>
      </c>
      <c r="BL54" s="341"/>
      <c r="BM54" s="341"/>
      <c r="BN54" s="341"/>
      <c r="BO54" s="341" t="s">
        <v>758</v>
      </c>
      <c r="BP54" s="347"/>
      <c r="BQ54" s="341"/>
      <c r="BR54" s="341"/>
      <c r="BS54" s="338"/>
      <c r="BT54" s="338"/>
      <c r="BU54" s="341"/>
      <c r="BV54" s="341" t="s">
        <v>758</v>
      </c>
      <c r="BW54" s="341"/>
      <c r="BX54" s="338"/>
      <c r="BY54" s="346" t="s">
        <v>842</v>
      </c>
    </row>
    <row r="55" spans="1:77" x14ac:dyDescent="0.15">
      <c r="A55" s="338">
        <v>1177</v>
      </c>
      <c r="B55" s="339">
        <v>43200</v>
      </c>
      <c r="C55" s="340" t="s">
        <v>755</v>
      </c>
      <c r="D55" s="338" t="s">
        <v>454</v>
      </c>
      <c r="E55" s="338"/>
      <c r="F55" s="338" t="s">
        <v>417</v>
      </c>
      <c r="G55" s="339">
        <v>43070</v>
      </c>
      <c r="H55" s="341" t="s">
        <v>757</v>
      </c>
      <c r="I55" s="341" t="s">
        <v>758</v>
      </c>
      <c r="J55" s="341">
        <v>6</v>
      </c>
      <c r="K55" s="338" t="s">
        <v>770</v>
      </c>
      <c r="L55" s="338" t="s">
        <v>771</v>
      </c>
      <c r="M55" s="342">
        <v>94.863636363636346</v>
      </c>
      <c r="N55" s="342">
        <v>42.081818181818178</v>
      </c>
      <c r="O55" s="338"/>
      <c r="P55" s="343"/>
      <c r="Q55" s="344"/>
      <c r="R55" s="343"/>
      <c r="S55" s="344"/>
      <c r="T55" s="338"/>
      <c r="U55" s="338"/>
      <c r="V55" s="344"/>
      <c r="W55" s="342">
        <v>25.09090909090909</v>
      </c>
      <c r="X55" s="338"/>
      <c r="Y55" s="338"/>
      <c r="Z55" s="338"/>
      <c r="AA55" s="338"/>
      <c r="AB55" s="338"/>
      <c r="AC55" s="338"/>
      <c r="AD55" s="338"/>
      <c r="AE55" s="344"/>
      <c r="AF55" s="344"/>
      <c r="AG55" s="343"/>
      <c r="AH55" s="338"/>
      <c r="AI55" s="344"/>
      <c r="AJ55" s="338"/>
      <c r="AK55" s="338"/>
      <c r="AL55" s="338"/>
      <c r="AM55" s="338"/>
      <c r="AN55" s="344"/>
      <c r="AO55" s="345"/>
      <c r="AP55" s="344"/>
      <c r="AQ55" s="145" t="s">
        <v>843</v>
      </c>
      <c r="AR55" s="341" t="s">
        <v>758</v>
      </c>
      <c r="AS55" s="341"/>
      <c r="AT55" s="341"/>
      <c r="AU55" s="341"/>
      <c r="AV55" s="341">
        <v>6.8</v>
      </c>
      <c r="AW55" s="341"/>
      <c r="AX55" s="341"/>
      <c r="AY55" s="341"/>
      <c r="AZ55" s="341" t="s">
        <v>361</v>
      </c>
      <c r="BA55" s="338"/>
      <c r="BB55" s="341">
        <v>0</v>
      </c>
      <c r="BC55" s="341">
        <v>0</v>
      </c>
      <c r="BD55" s="341">
        <v>0</v>
      </c>
      <c r="BE55" s="341">
        <v>0</v>
      </c>
      <c r="BF55" s="341">
        <v>0</v>
      </c>
      <c r="BG55" s="341">
        <v>0</v>
      </c>
      <c r="BH55" s="341">
        <v>0</v>
      </c>
      <c r="BI55" s="341">
        <v>0</v>
      </c>
      <c r="BJ55" s="341">
        <v>0</v>
      </c>
      <c r="BK55" s="341">
        <v>0</v>
      </c>
      <c r="BL55" s="341"/>
      <c r="BM55" s="341"/>
      <c r="BN55" s="341"/>
      <c r="BO55" s="341" t="s">
        <v>758</v>
      </c>
      <c r="BP55" s="347"/>
      <c r="BQ55" s="341"/>
      <c r="BR55" s="341"/>
      <c r="BS55" s="338"/>
      <c r="BT55" s="338"/>
      <c r="BU55" s="341"/>
      <c r="BV55" s="341" t="s">
        <v>758</v>
      </c>
      <c r="BW55" s="341"/>
      <c r="BX55" s="338"/>
      <c r="BY55" s="356" t="s">
        <v>844</v>
      </c>
    </row>
    <row r="56" spans="1:77" x14ac:dyDescent="0.15">
      <c r="A56" s="338">
        <v>1381</v>
      </c>
      <c r="B56" s="339">
        <v>43200</v>
      </c>
      <c r="C56" s="340" t="s">
        <v>755</v>
      </c>
      <c r="D56" s="338" t="s">
        <v>454</v>
      </c>
      <c r="E56" s="338"/>
      <c r="F56" s="338" t="s">
        <v>417</v>
      </c>
      <c r="G56" s="339">
        <v>43075</v>
      </c>
      <c r="H56" s="341" t="s">
        <v>757</v>
      </c>
      <c r="I56" s="341" t="s">
        <v>758</v>
      </c>
      <c r="J56" s="341">
        <v>7</v>
      </c>
      <c r="K56" s="338" t="s">
        <v>773</v>
      </c>
      <c r="L56" s="338" t="s">
        <v>774</v>
      </c>
      <c r="M56" s="342">
        <v>80.054545454545448</v>
      </c>
      <c r="N56" s="342">
        <v>32.945454545454545</v>
      </c>
      <c r="O56" s="338"/>
      <c r="P56" s="343"/>
      <c r="Q56" s="344"/>
      <c r="R56" s="343"/>
      <c r="S56" s="344"/>
      <c r="T56" s="343"/>
      <c r="U56" s="338"/>
      <c r="V56" s="344"/>
      <c r="W56" s="342">
        <v>20.290909090909089</v>
      </c>
      <c r="X56" s="338"/>
      <c r="Y56" s="338"/>
      <c r="Z56" s="343"/>
      <c r="AA56" s="338"/>
      <c r="AB56" s="343"/>
      <c r="AC56" s="338"/>
      <c r="AD56" s="338"/>
      <c r="AE56" s="344"/>
      <c r="AF56" s="344"/>
      <c r="AG56" s="343"/>
      <c r="AH56" s="338"/>
      <c r="AI56" s="344"/>
      <c r="AJ56" s="338"/>
      <c r="AK56" s="338"/>
      <c r="AL56" s="338"/>
      <c r="AM56" s="338"/>
      <c r="AN56" s="344"/>
      <c r="AO56" s="345"/>
      <c r="AP56" s="344"/>
      <c r="AQ56" s="338" t="s">
        <v>838</v>
      </c>
      <c r="AR56" s="341" t="s">
        <v>758</v>
      </c>
      <c r="AS56" s="341"/>
      <c r="AT56" s="341"/>
      <c r="AU56" s="341"/>
      <c r="AV56" s="341">
        <v>6</v>
      </c>
      <c r="AW56" s="341"/>
      <c r="AX56" s="341"/>
      <c r="AY56" s="341"/>
      <c r="AZ56" s="341" t="s">
        <v>762</v>
      </c>
      <c r="BA56" s="338"/>
      <c r="BB56" s="341">
        <v>0</v>
      </c>
      <c r="BC56" s="341">
        <v>0</v>
      </c>
      <c r="BD56" s="341">
        <v>0</v>
      </c>
      <c r="BE56" s="341">
        <v>0</v>
      </c>
      <c r="BF56" s="341">
        <v>0</v>
      </c>
      <c r="BG56" s="341">
        <v>0</v>
      </c>
      <c r="BH56" s="341">
        <v>0</v>
      </c>
      <c r="BI56" s="341">
        <v>0</v>
      </c>
      <c r="BJ56" s="341">
        <v>0</v>
      </c>
      <c r="BK56" s="341">
        <v>0</v>
      </c>
      <c r="BL56" s="341"/>
      <c r="BM56" s="341"/>
      <c r="BN56" s="341">
        <v>12</v>
      </c>
      <c r="BO56" s="341" t="s">
        <v>758</v>
      </c>
      <c r="BP56" s="347"/>
      <c r="BQ56" s="341"/>
      <c r="BR56" s="341"/>
      <c r="BS56" s="338"/>
      <c r="BT56" s="338"/>
      <c r="BU56" s="341"/>
      <c r="BV56" s="341" t="s">
        <v>758</v>
      </c>
      <c r="BW56" s="341"/>
      <c r="BX56" s="338"/>
      <c r="BY56" s="355" t="s">
        <v>845</v>
      </c>
    </row>
    <row r="57" spans="1:77" x14ac:dyDescent="0.15">
      <c r="A57" s="338">
        <v>1715</v>
      </c>
      <c r="B57" s="339">
        <v>43200</v>
      </c>
      <c r="C57" s="340" t="s">
        <v>755</v>
      </c>
      <c r="D57" s="338" t="s">
        <v>454</v>
      </c>
      <c r="E57" s="338"/>
      <c r="F57" s="338" t="s">
        <v>417</v>
      </c>
      <c r="G57" s="339">
        <v>42964</v>
      </c>
      <c r="H57" s="341" t="s">
        <v>757</v>
      </c>
      <c r="I57" s="341" t="s">
        <v>758</v>
      </c>
      <c r="J57" s="341">
        <v>9</v>
      </c>
      <c r="K57" s="338" t="s">
        <v>776</v>
      </c>
      <c r="L57" s="338" t="s">
        <v>525</v>
      </c>
      <c r="M57" s="342">
        <v>86.018181818181816</v>
      </c>
      <c r="N57" s="342">
        <v>34.799999999999997</v>
      </c>
      <c r="O57" s="338"/>
      <c r="P57" s="343"/>
      <c r="Q57" s="344"/>
      <c r="R57" s="343"/>
      <c r="S57" s="344"/>
      <c r="T57" s="338"/>
      <c r="U57" s="338"/>
      <c r="V57" s="344"/>
      <c r="W57" s="342">
        <v>23.509090909090908</v>
      </c>
      <c r="X57" s="338"/>
      <c r="Y57" s="338"/>
      <c r="Z57" s="338"/>
      <c r="AA57" s="338"/>
      <c r="AB57" s="338"/>
      <c r="AC57" s="338"/>
      <c r="AD57" s="338"/>
      <c r="AE57" s="344"/>
      <c r="AF57" s="344"/>
      <c r="AG57" s="343"/>
      <c r="AH57" s="338"/>
      <c r="AI57" s="344"/>
      <c r="AJ57" s="338"/>
      <c r="AK57" s="338"/>
      <c r="AL57" s="338"/>
      <c r="AM57" s="338"/>
      <c r="AN57" s="344"/>
      <c r="AO57" s="345"/>
      <c r="AP57" s="344"/>
      <c r="AQ57" s="346" t="s">
        <v>838</v>
      </c>
      <c r="AR57" s="341" t="s">
        <v>758</v>
      </c>
      <c r="AS57" s="341"/>
      <c r="AT57" s="341"/>
      <c r="AU57" s="341"/>
      <c r="AV57" s="341">
        <v>3</v>
      </c>
      <c r="AW57" s="341"/>
      <c r="AX57" s="341"/>
      <c r="AY57" s="341"/>
      <c r="AZ57" s="341" t="s">
        <v>762</v>
      </c>
      <c r="BA57" s="338"/>
      <c r="BB57" s="341">
        <v>0</v>
      </c>
      <c r="BC57" s="341">
        <v>0</v>
      </c>
      <c r="BD57" s="341">
        <v>0</v>
      </c>
      <c r="BE57" s="341">
        <v>0</v>
      </c>
      <c r="BF57" s="341">
        <v>0</v>
      </c>
      <c r="BG57" s="341">
        <v>0</v>
      </c>
      <c r="BH57" s="341">
        <v>0</v>
      </c>
      <c r="BI57" s="341">
        <v>0</v>
      </c>
      <c r="BJ57" s="341">
        <v>0</v>
      </c>
      <c r="BK57" s="341">
        <v>0</v>
      </c>
      <c r="BL57" s="341"/>
      <c r="BM57" s="341"/>
      <c r="BN57" s="341"/>
      <c r="BO57" s="341" t="s">
        <v>758</v>
      </c>
      <c r="BP57" s="347"/>
      <c r="BQ57" s="341"/>
      <c r="BR57" s="351"/>
      <c r="BS57" s="338"/>
      <c r="BT57" s="338"/>
      <c r="BU57" s="341"/>
      <c r="BV57" s="341" t="s">
        <v>758</v>
      </c>
      <c r="BW57" s="341"/>
      <c r="BX57" s="338"/>
      <c r="BY57" s="338" t="s">
        <v>614</v>
      </c>
    </row>
    <row r="58" spans="1:77" x14ac:dyDescent="0.15">
      <c r="A58" s="338">
        <v>1774</v>
      </c>
      <c r="B58" s="339">
        <v>43200</v>
      </c>
      <c r="C58" s="340" t="s">
        <v>755</v>
      </c>
      <c r="D58" s="338" t="s">
        <v>454</v>
      </c>
      <c r="E58" s="338"/>
      <c r="F58" s="338" t="s">
        <v>417</v>
      </c>
      <c r="G58" s="349">
        <v>42930</v>
      </c>
      <c r="H58" s="341" t="s">
        <v>757</v>
      </c>
      <c r="I58" s="341" t="s">
        <v>758</v>
      </c>
      <c r="J58" s="341">
        <v>10</v>
      </c>
      <c r="K58" s="338" t="s">
        <v>777</v>
      </c>
      <c r="L58" s="338" t="s">
        <v>778</v>
      </c>
      <c r="M58" s="342">
        <v>92.681818181818173</v>
      </c>
      <c r="N58" s="342">
        <v>40.099999999999994</v>
      </c>
      <c r="O58" s="338"/>
      <c r="P58" s="343"/>
      <c r="Q58" s="344"/>
      <c r="R58" s="343"/>
      <c r="S58" s="344"/>
      <c r="T58" s="343"/>
      <c r="U58" s="338"/>
      <c r="V58" s="344"/>
      <c r="W58" s="342">
        <v>23.59090909090909</v>
      </c>
      <c r="X58" s="338"/>
      <c r="Y58" s="338"/>
      <c r="Z58" s="338"/>
      <c r="AA58" s="338"/>
      <c r="AB58" s="338"/>
      <c r="AC58" s="338"/>
      <c r="AD58" s="338"/>
      <c r="AE58" s="344"/>
      <c r="AF58" s="344"/>
      <c r="AG58" s="338"/>
      <c r="AH58" s="338"/>
      <c r="AI58" s="344"/>
      <c r="AJ58" s="338"/>
      <c r="AK58" s="338"/>
      <c r="AL58" s="338"/>
      <c r="AM58" s="338"/>
      <c r="AN58" s="344"/>
      <c r="AO58" s="345"/>
      <c r="AP58" s="344"/>
      <c r="AQ58" s="338" t="s">
        <v>838</v>
      </c>
      <c r="AR58" s="341" t="s">
        <v>758</v>
      </c>
      <c r="AS58" s="341"/>
      <c r="AT58" s="341"/>
      <c r="AU58" s="341"/>
      <c r="AV58" s="341">
        <v>4.5</v>
      </c>
      <c r="AW58" s="341"/>
      <c r="AX58" s="341"/>
      <c r="AY58" s="341"/>
      <c r="AZ58" s="341" t="s">
        <v>758</v>
      </c>
      <c r="BA58" s="338"/>
      <c r="BB58" s="341">
        <v>18</v>
      </c>
      <c r="BC58" s="341">
        <v>0</v>
      </c>
      <c r="BD58" s="341">
        <v>0</v>
      </c>
      <c r="BE58" s="341">
        <v>0</v>
      </c>
      <c r="BF58" s="341">
        <v>0</v>
      </c>
      <c r="BG58" s="341">
        <v>0</v>
      </c>
      <c r="BH58" s="341">
        <v>0</v>
      </c>
      <c r="BI58" s="341">
        <v>0</v>
      </c>
      <c r="BJ58" s="341">
        <v>0</v>
      </c>
      <c r="BK58" s="341">
        <v>0</v>
      </c>
      <c r="BL58" s="341"/>
      <c r="BM58" s="341"/>
      <c r="BN58" s="341"/>
      <c r="BO58" s="341" t="s">
        <v>758</v>
      </c>
      <c r="BP58" s="347"/>
      <c r="BQ58" s="341"/>
      <c r="BR58" s="341"/>
      <c r="BS58" s="352"/>
      <c r="BT58" s="352"/>
      <c r="BU58" s="341"/>
      <c r="BV58" s="341" t="s">
        <v>758</v>
      </c>
      <c r="BW58" s="341"/>
      <c r="BX58" s="338"/>
      <c r="BY58" s="338" t="s">
        <v>846</v>
      </c>
    </row>
    <row r="59" spans="1:77" x14ac:dyDescent="0.15">
      <c r="A59" s="338">
        <v>1502</v>
      </c>
      <c r="B59" s="339">
        <v>43200</v>
      </c>
      <c r="C59" s="340" t="s">
        <v>755</v>
      </c>
      <c r="D59" s="338" t="s">
        <v>454</v>
      </c>
      <c r="E59" s="338"/>
      <c r="F59" s="338" t="s">
        <v>417</v>
      </c>
      <c r="G59" s="339">
        <v>43131</v>
      </c>
      <c r="H59" s="341" t="s">
        <v>757</v>
      </c>
      <c r="I59" s="341" t="s">
        <v>758</v>
      </c>
      <c r="J59" s="341">
        <v>12</v>
      </c>
      <c r="K59" s="338" t="s">
        <v>495</v>
      </c>
      <c r="L59" s="338" t="s">
        <v>781</v>
      </c>
      <c r="M59" s="342">
        <v>109.99999999999999</v>
      </c>
      <c r="N59" s="342">
        <v>32</v>
      </c>
      <c r="O59" s="338"/>
      <c r="P59" s="343"/>
      <c r="Q59" s="344"/>
      <c r="R59" s="343"/>
      <c r="S59" s="344"/>
      <c r="T59" s="338"/>
      <c r="U59" s="338"/>
      <c r="V59" s="344"/>
      <c r="W59" s="342">
        <v>23</v>
      </c>
      <c r="X59" s="338"/>
      <c r="Y59" s="338"/>
      <c r="Z59" s="338"/>
      <c r="AA59" s="338"/>
      <c r="AB59" s="338"/>
      <c r="AC59" s="338"/>
      <c r="AD59" s="338"/>
      <c r="AE59" s="344"/>
      <c r="AF59" s="344"/>
      <c r="AG59" s="343"/>
      <c r="AH59" s="338"/>
      <c r="AI59" s="344"/>
      <c r="AJ59" s="338"/>
      <c r="AK59" s="338"/>
      <c r="AL59" s="338"/>
      <c r="AM59" s="338"/>
      <c r="AN59" s="344"/>
      <c r="AO59" s="345"/>
      <c r="AP59" s="344"/>
      <c r="AQ59" s="338" t="s">
        <v>838</v>
      </c>
      <c r="AR59" s="341" t="s">
        <v>758</v>
      </c>
      <c r="AS59" s="341"/>
      <c r="AT59" s="341"/>
      <c r="AU59" s="341"/>
      <c r="AV59" s="341">
        <v>3</v>
      </c>
      <c r="AW59" s="341"/>
      <c r="AX59" s="341"/>
      <c r="AY59" s="341"/>
      <c r="AZ59" s="341" t="s">
        <v>762</v>
      </c>
      <c r="BA59" s="338"/>
      <c r="BB59" s="341">
        <v>0</v>
      </c>
      <c r="BC59" s="341">
        <v>0</v>
      </c>
      <c r="BD59" s="341">
        <v>0</v>
      </c>
      <c r="BE59" s="341">
        <v>0</v>
      </c>
      <c r="BF59" s="341">
        <v>0</v>
      </c>
      <c r="BG59" s="341">
        <v>0</v>
      </c>
      <c r="BH59" s="341">
        <v>0</v>
      </c>
      <c r="BI59" s="341">
        <v>0</v>
      </c>
      <c r="BJ59" s="341">
        <v>0</v>
      </c>
      <c r="BK59" s="341">
        <v>0</v>
      </c>
      <c r="BL59" s="341"/>
      <c r="BM59" s="341"/>
      <c r="BN59" s="341"/>
      <c r="BO59" s="341" t="s">
        <v>758</v>
      </c>
      <c r="BP59" s="347"/>
      <c r="BQ59" s="341"/>
      <c r="BR59" s="341"/>
      <c r="BS59" s="338"/>
      <c r="BT59" s="338"/>
      <c r="BU59" s="341"/>
      <c r="BV59" s="341" t="s">
        <v>758</v>
      </c>
      <c r="BW59" s="341">
        <v>1</v>
      </c>
      <c r="BX59" s="338"/>
      <c r="BY59" s="353" t="s">
        <v>847</v>
      </c>
    </row>
    <row r="60" spans="1:77" x14ac:dyDescent="0.15">
      <c r="A60" s="338">
        <v>592</v>
      </c>
      <c r="B60" s="339">
        <v>43200</v>
      </c>
      <c r="C60" s="340" t="s">
        <v>755</v>
      </c>
      <c r="D60" s="338" t="s">
        <v>454</v>
      </c>
      <c r="E60" s="338"/>
      <c r="F60" s="338" t="s">
        <v>417</v>
      </c>
      <c r="G60" s="349">
        <v>43057</v>
      </c>
      <c r="H60" s="341" t="s">
        <v>757</v>
      </c>
      <c r="I60" s="341" t="s">
        <v>758</v>
      </c>
      <c r="J60" s="341">
        <v>14</v>
      </c>
      <c r="K60" s="338" t="s">
        <v>784</v>
      </c>
      <c r="L60" s="338" t="s">
        <v>595</v>
      </c>
      <c r="M60" s="342">
        <v>70</v>
      </c>
      <c r="N60" s="342">
        <v>27.727272727272727</v>
      </c>
      <c r="O60" s="338"/>
      <c r="P60" s="343"/>
      <c r="Q60" s="344"/>
      <c r="R60" s="343"/>
      <c r="S60" s="344"/>
      <c r="T60" s="343"/>
      <c r="U60" s="338"/>
      <c r="V60" s="344"/>
      <c r="W60" s="342">
        <v>19.09090909090909</v>
      </c>
      <c r="X60" s="343"/>
      <c r="Y60" s="338"/>
      <c r="Z60" s="343"/>
      <c r="AA60" s="338"/>
      <c r="AB60" s="343"/>
      <c r="AC60" s="338"/>
      <c r="AD60" s="338"/>
      <c r="AE60" s="344"/>
      <c r="AF60" s="344"/>
      <c r="AG60" s="343"/>
      <c r="AH60" s="338"/>
      <c r="AI60" s="344"/>
      <c r="AJ60" s="338"/>
      <c r="AK60" s="338"/>
      <c r="AL60" s="338"/>
      <c r="AM60" s="338"/>
      <c r="AN60" s="344"/>
      <c r="AO60" s="345"/>
      <c r="AP60" s="344"/>
      <c r="AQ60" s="346" t="s">
        <v>838</v>
      </c>
      <c r="AR60" s="341" t="s">
        <v>758</v>
      </c>
      <c r="AS60" s="341"/>
      <c r="AT60" s="341"/>
      <c r="AU60" s="341"/>
      <c r="AV60" s="341">
        <v>7</v>
      </c>
      <c r="AW60" s="341"/>
      <c r="AX60" s="341"/>
      <c r="AY60" s="341"/>
      <c r="AZ60" s="341" t="s">
        <v>762</v>
      </c>
      <c r="BA60" s="338"/>
      <c r="BB60" s="341">
        <v>0</v>
      </c>
      <c r="BC60" s="341">
        <v>0</v>
      </c>
      <c r="BD60" s="341">
        <v>0</v>
      </c>
      <c r="BE60" s="341">
        <v>0</v>
      </c>
      <c r="BF60" s="341">
        <v>0</v>
      </c>
      <c r="BG60" s="341">
        <v>0</v>
      </c>
      <c r="BH60" s="341">
        <v>0</v>
      </c>
      <c r="BI60" s="341">
        <v>0</v>
      </c>
      <c r="BJ60" s="341">
        <v>0</v>
      </c>
      <c r="BK60" s="341">
        <v>0</v>
      </c>
      <c r="BL60" s="341"/>
      <c r="BM60" s="341"/>
      <c r="BN60" s="341"/>
      <c r="BO60" s="341" t="s">
        <v>758</v>
      </c>
      <c r="BP60" s="354">
        <v>163.58181818181816</v>
      </c>
      <c r="BQ60" s="341"/>
      <c r="BR60" s="351"/>
      <c r="BS60" s="352" t="s">
        <v>785</v>
      </c>
      <c r="BT60" s="352" t="s">
        <v>195</v>
      </c>
      <c r="BU60" s="352">
        <v>89.97</v>
      </c>
      <c r="BV60" s="341" t="s">
        <v>758</v>
      </c>
      <c r="BW60" s="341"/>
      <c r="BX60" s="338"/>
      <c r="BY60" s="338" t="s">
        <v>848</v>
      </c>
    </row>
    <row r="61" spans="1:77" x14ac:dyDescent="0.15">
      <c r="A61" s="338">
        <v>513</v>
      </c>
      <c r="B61" s="339">
        <v>43200</v>
      </c>
      <c r="C61" s="340" t="s">
        <v>755</v>
      </c>
      <c r="D61" s="338" t="s">
        <v>454</v>
      </c>
      <c r="E61" s="338"/>
      <c r="F61" s="338" t="s">
        <v>417</v>
      </c>
      <c r="G61" s="339">
        <v>42916</v>
      </c>
      <c r="H61" s="341" t="s">
        <v>175</v>
      </c>
      <c r="I61" s="341" t="s">
        <v>174</v>
      </c>
      <c r="J61" s="341">
        <v>16</v>
      </c>
      <c r="K61" s="338" t="s">
        <v>676</v>
      </c>
      <c r="L61" s="338" t="s">
        <v>789</v>
      </c>
      <c r="M61" s="342">
        <v>89.999999999999986</v>
      </c>
      <c r="N61" s="342">
        <v>40</v>
      </c>
      <c r="O61" s="338"/>
      <c r="P61" s="343"/>
      <c r="Q61" s="344"/>
      <c r="R61" s="343"/>
      <c r="S61" s="344"/>
      <c r="T61" s="343"/>
      <c r="U61" s="338"/>
      <c r="V61" s="344"/>
      <c r="W61" s="342">
        <v>23.999999999999996</v>
      </c>
      <c r="X61" s="338"/>
      <c r="Y61" s="338"/>
      <c r="Z61" s="338"/>
      <c r="AA61" s="338"/>
      <c r="AB61" s="338"/>
      <c r="AC61" s="338"/>
      <c r="AD61" s="338"/>
      <c r="AE61" s="344"/>
      <c r="AF61" s="344"/>
      <c r="AG61" s="343"/>
      <c r="AH61" s="338"/>
      <c r="AI61" s="344"/>
      <c r="AJ61" s="338"/>
      <c r="AK61" s="338"/>
      <c r="AL61" s="338"/>
      <c r="AM61" s="338"/>
      <c r="AN61" s="344"/>
      <c r="AO61" s="345"/>
      <c r="AP61" s="344"/>
      <c r="AQ61" s="346" t="s">
        <v>838</v>
      </c>
      <c r="AR61" s="341" t="s">
        <v>758</v>
      </c>
      <c r="AS61" s="341"/>
      <c r="AT61" s="341"/>
      <c r="AU61" s="341"/>
      <c r="AV61" s="341">
        <v>6</v>
      </c>
      <c r="AW61" s="341"/>
      <c r="AX61" s="341"/>
      <c r="AY61" s="341"/>
      <c r="AZ61" s="341" t="s">
        <v>762</v>
      </c>
      <c r="BA61" s="338"/>
      <c r="BB61" s="341">
        <v>0</v>
      </c>
      <c r="BC61" s="341">
        <v>15</v>
      </c>
      <c r="BD61" s="341">
        <v>0</v>
      </c>
      <c r="BE61" s="341">
        <v>0</v>
      </c>
      <c r="BF61" s="341">
        <v>0</v>
      </c>
      <c r="BG61" s="341">
        <v>0</v>
      </c>
      <c r="BH61" s="341">
        <v>0</v>
      </c>
      <c r="BI61" s="341">
        <v>0</v>
      </c>
      <c r="BJ61" s="341">
        <v>0</v>
      </c>
      <c r="BK61" s="341">
        <v>0</v>
      </c>
      <c r="BL61" s="341"/>
      <c r="BM61" s="341"/>
      <c r="BN61" s="341"/>
      <c r="BO61" s="341" t="s">
        <v>758</v>
      </c>
      <c r="BP61" s="347"/>
      <c r="BQ61" s="341"/>
      <c r="BR61" s="341"/>
      <c r="BS61" s="338"/>
      <c r="BT61" s="338"/>
      <c r="BU61" s="341"/>
      <c r="BV61" s="341" t="s">
        <v>758</v>
      </c>
      <c r="BW61" s="341"/>
      <c r="BX61" s="338" t="s">
        <v>790</v>
      </c>
      <c r="BY61" s="338" t="s">
        <v>849</v>
      </c>
    </row>
    <row r="62" spans="1:77" x14ac:dyDescent="0.15">
      <c r="A62" s="338">
        <v>1568</v>
      </c>
      <c r="B62" s="339">
        <v>43200</v>
      </c>
      <c r="C62" s="340" t="s">
        <v>755</v>
      </c>
      <c r="D62" s="338" t="s">
        <v>454</v>
      </c>
      <c r="E62" s="338"/>
      <c r="F62" s="338" t="s">
        <v>417</v>
      </c>
      <c r="G62" s="339">
        <v>43148</v>
      </c>
      <c r="H62" s="341" t="s">
        <v>757</v>
      </c>
      <c r="I62" s="341" t="s">
        <v>758</v>
      </c>
      <c r="J62" s="341">
        <v>17</v>
      </c>
      <c r="K62" s="338" t="s">
        <v>691</v>
      </c>
      <c r="L62" s="338" t="s">
        <v>791</v>
      </c>
      <c r="M62" s="342">
        <v>68.199999999999989</v>
      </c>
      <c r="N62" s="342">
        <v>28.172727272727268</v>
      </c>
      <c r="O62" s="338"/>
      <c r="P62" s="343"/>
      <c r="Q62" s="344"/>
      <c r="R62" s="343"/>
      <c r="S62" s="344"/>
      <c r="T62" s="343"/>
      <c r="U62" s="338"/>
      <c r="V62" s="344"/>
      <c r="W62" s="342">
        <v>18.972727272727273</v>
      </c>
      <c r="X62" s="338"/>
      <c r="Y62" s="338"/>
      <c r="Z62" s="338"/>
      <c r="AA62" s="338"/>
      <c r="AB62" s="338"/>
      <c r="AC62" s="338"/>
      <c r="AD62" s="338"/>
      <c r="AE62" s="344"/>
      <c r="AF62" s="344"/>
      <c r="AG62" s="338"/>
      <c r="AH62" s="338"/>
      <c r="AI62" s="344"/>
      <c r="AJ62" s="338"/>
      <c r="AK62" s="338"/>
      <c r="AL62" s="338"/>
      <c r="AM62" s="338"/>
      <c r="AN62" s="344"/>
      <c r="AO62" s="345"/>
      <c r="AP62" s="344"/>
      <c r="AQ62" s="338" t="s">
        <v>838</v>
      </c>
      <c r="AR62" s="341" t="s">
        <v>758</v>
      </c>
      <c r="AS62" s="341"/>
      <c r="AT62" s="341"/>
      <c r="AU62" s="341"/>
      <c r="AV62" s="341">
        <v>3</v>
      </c>
      <c r="AW62" s="341"/>
      <c r="AX62" s="341"/>
      <c r="AY62" s="341"/>
      <c r="AZ62" s="341" t="s">
        <v>762</v>
      </c>
      <c r="BA62" s="338"/>
      <c r="BB62" s="341">
        <v>0</v>
      </c>
      <c r="BC62" s="341">
        <v>0</v>
      </c>
      <c r="BD62" s="341">
        <v>0</v>
      </c>
      <c r="BE62" s="341">
        <v>0</v>
      </c>
      <c r="BF62" s="341">
        <v>0</v>
      </c>
      <c r="BG62" s="341">
        <v>0</v>
      </c>
      <c r="BH62" s="341">
        <v>0</v>
      </c>
      <c r="BI62" s="341">
        <v>0</v>
      </c>
      <c r="BJ62" s="341">
        <v>0</v>
      </c>
      <c r="BK62" s="341">
        <v>0</v>
      </c>
      <c r="BL62" s="341"/>
      <c r="BM62" s="341"/>
      <c r="BN62" s="341"/>
      <c r="BO62" s="341" t="s">
        <v>758</v>
      </c>
      <c r="BP62" s="347"/>
      <c r="BQ62" s="341"/>
      <c r="BR62" s="341"/>
      <c r="BS62" s="352"/>
      <c r="BT62" s="352"/>
      <c r="BU62" s="341"/>
      <c r="BV62" s="341" t="s">
        <v>758</v>
      </c>
      <c r="BW62" s="341">
        <v>1</v>
      </c>
      <c r="BX62" s="338" t="s">
        <v>792</v>
      </c>
      <c r="BY62" s="338" t="s">
        <v>850</v>
      </c>
    </row>
    <row r="63" spans="1:77" x14ac:dyDescent="0.15">
      <c r="A63" s="338">
        <v>362</v>
      </c>
      <c r="B63" s="339">
        <v>43200</v>
      </c>
      <c r="C63" s="340" t="s">
        <v>755</v>
      </c>
      <c r="D63" s="338" t="s">
        <v>454</v>
      </c>
      <c r="E63" s="338"/>
      <c r="F63" s="338" t="s">
        <v>417</v>
      </c>
      <c r="G63" s="349">
        <v>42941</v>
      </c>
      <c r="H63" s="341" t="s">
        <v>175</v>
      </c>
      <c r="I63" s="341" t="s">
        <v>174</v>
      </c>
      <c r="J63" s="341">
        <v>18</v>
      </c>
      <c r="K63" s="338" t="s">
        <v>794</v>
      </c>
      <c r="L63" s="338" t="s">
        <v>734</v>
      </c>
      <c r="M63" s="342">
        <v>85</v>
      </c>
      <c r="N63" s="342">
        <v>34.68181818181818</v>
      </c>
      <c r="O63" s="338"/>
      <c r="P63" s="343"/>
      <c r="Q63" s="344"/>
      <c r="R63" s="343"/>
      <c r="S63" s="344"/>
      <c r="T63" s="343"/>
      <c r="U63" s="338"/>
      <c r="V63" s="344"/>
      <c r="W63" s="342">
        <v>22.627272727272725</v>
      </c>
      <c r="X63" s="338"/>
      <c r="Y63" s="338"/>
      <c r="Z63" s="338"/>
      <c r="AA63" s="338"/>
      <c r="AB63" s="338"/>
      <c r="AC63" s="338"/>
      <c r="AD63" s="338"/>
      <c r="AE63" s="344"/>
      <c r="AF63" s="344"/>
      <c r="AG63" s="343"/>
      <c r="AH63" s="338"/>
      <c r="AI63" s="344"/>
      <c r="AJ63" s="338"/>
      <c r="AK63" s="338"/>
      <c r="AL63" s="338"/>
      <c r="AM63" s="338"/>
      <c r="AN63" s="344"/>
      <c r="AO63" s="345"/>
      <c r="AP63" s="344"/>
      <c r="AQ63" s="338" t="s">
        <v>838</v>
      </c>
      <c r="AR63" s="341" t="s">
        <v>758</v>
      </c>
      <c r="AS63" s="341"/>
      <c r="AT63" s="341"/>
      <c r="AU63" s="341"/>
      <c r="AV63" s="341"/>
      <c r="AW63" s="341"/>
      <c r="AX63" s="341"/>
      <c r="AY63" s="341"/>
      <c r="AZ63" s="341" t="s">
        <v>758</v>
      </c>
      <c r="BA63" s="338"/>
      <c r="BB63" s="341">
        <v>0</v>
      </c>
      <c r="BC63" s="341">
        <v>5</v>
      </c>
      <c r="BD63" s="341">
        <v>0</v>
      </c>
      <c r="BE63" s="341">
        <v>0</v>
      </c>
      <c r="BF63" s="341">
        <v>0</v>
      </c>
      <c r="BG63" s="341">
        <v>0</v>
      </c>
      <c r="BH63" s="341">
        <v>0</v>
      </c>
      <c r="BI63" s="341">
        <v>0</v>
      </c>
      <c r="BJ63" s="341">
        <v>0</v>
      </c>
      <c r="BK63" s="341">
        <v>0</v>
      </c>
      <c r="BL63" s="341"/>
      <c r="BM63" s="341"/>
      <c r="BN63" s="341"/>
      <c r="BO63" s="341" t="s">
        <v>758</v>
      </c>
      <c r="BP63" s="347"/>
      <c r="BQ63" s="341"/>
      <c r="BR63" s="341"/>
      <c r="BS63" s="338"/>
      <c r="BT63" s="338"/>
      <c r="BU63" s="341"/>
      <c r="BV63" s="341" t="s">
        <v>758</v>
      </c>
      <c r="BW63" s="341"/>
      <c r="BX63" s="338"/>
      <c r="BY63" s="338" t="s">
        <v>851</v>
      </c>
    </row>
    <row r="64" spans="1:77" x14ac:dyDescent="0.15">
      <c r="A64" s="338">
        <v>19</v>
      </c>
      <c r="B64" s="339">
        <v>43200</v>
      </c>
      <c r="C64" s="340" t="s">
        <v>755</v>
      </c>
      <c r="D64" s="338" t="s">
        <v>454</v>
      </c>
      <c r="E64" s="338"/>
      <c r="F64" s="338" t="s">
        <v>417</v>
      </c>
      <c r="G64" s="339">
        <v>42916</v>
      </c>
      <c r="H64" s="341" t="s">
        <v>757</v>
      </c>
      <c r="I64" s="341" t="s">
        <v>758</v>
      </c>
      <c r="J64" s="341">
        <v>19</v>
      </c>
      <c r="K64" s="338" t="s">
        <v>708</v>
      </c>
      <c r="L64" s="338" t="s">
        <v>709</v>
      </c>
      <c r="M64" s="342">
        <v>95.954545454545439</v>
      </c>
      <c r="N64" s="342">
        <v>39.18181818181818</v>
      </c>
      <c r="O64" s="338"/>
      <c r="P64" s="343"/>
      <c r="Q64" s="344"/>
      <c r="R64" s="343"/>
      <c r="S64" s="344"/>
      <c r="T64" s="343"/>
      <c r="U64" s="338"/>
      <c r="V64" s="344"/>
      <c r="W64" s="342">
        <v>24.081818181818178</v>
      </c>
      <c r="X64" s="343"/>
      <c r="Y64" s="338"/>
      <c r="Z64" s="343"/>
      <c r="AA64" s="338"/>
      <c r="AB64" s="343"/>
      <c r="AC64" s="338"/>
      <c r="AD64" s="338"/>
      <c r="AE64" s="344"/>
      <c r="AF64" s="344"/>
      <c r="AG64" s="343"/>
      <c r="AH64" s="338"/>
      <c r="AI64" s="344"/>
      <c r="AJ64" s="338"/>
      <c r="AK64" s="338"/>
      <c r="AL64" s="338"/>
      <c r="AM64" s="338"/>
      <c r="AN64" s="344"/>
      <c r="AO64" s="345"/>
      <c r="AP64" s="344"/>
      <c r="AQ64" s="346" t="s">
        <v>838</v>
      </c>
      <c r="AR64" s="341" t="s">
        <v>174</v>
      </c>
      <c r="AS64" s="341"/>
      <c r="AT64" s="341"/>
      <c r="AU64" s="341"/>
      <c r="AV64" s="341">
        <v>8</v>
      </c>
      <c r="AW64" s="341"/>
      <c r="AX64" s="341"/>
      <c r="AY64" s="341"/>
      <c r="AZ64" s="341" t="s">
        <v>174</v>
      </c>
      <c r="BA64" s="338"/>
      <c r="BB64" s="341">
        <v>4</v>
      </c>
      <c r="BC64" s="341">
        <v>0</v>
      </c>
      <c r="BD64" s="341">
        <v>10</v>
      </c>
      <c r="BE64" s="341">
        <v>0</v>
      </c>
      <c r="BF64" s="341">
        <v>0</v>
      </c>
      <c r="BG64" s="341">
        <v>0</v>
      </c>
      <c r="BH64" s="341">
        <v>0</v>
      </c>
      <c r="BI64" s="341">
        <v>0</v>
      </c>
      <c r="BJ64" s="341">
        <v>0</v>
      </c>
      <c r="BK64" s="341">
        <v>0</v>
      </c>
      <c r="BL64" s="341"/>
      <c r="BM64" s="341"/>
      <c r="BN64" s="341"/>
      <c r="BO64" s="341" t="s">
        <v>758</v>
      </c>
      <c r="BP64" s="347"/>
      <c r="BQ64" s="341"/>
      <c r="BR64" s="341"/>
      <c r="BS64" s="352"/>
      <c r="BT64" s="352"/>
      <c r="BU64" s="341"/>
      <c r="BV64" s="341" t="s">
        <v>758</v>
      </c>
      <c r="BW64" s="341">
        <v>1</v>
      </c>
      <c r="BX64" s="338"/>
      <c r="BY64" s="338" t="s">
        <v>852</v>
      </c>
    </row>
    <row r="65" spans="1:77" x14ac:dyDescent="0.15">
      <c r="A65" s="338">
        <v>1919</v>
      </c>
      <c r="B65" s="339">
        <v>43200</v>
      </c>
      <c r="C65" s="340" t="s">
        <v>755</v>
      </c>
      <c r="D65" s="338" t="s">
        <v>454</v>
      </c>
      <c r="E65" s="338"/>
      <c r="F65" s="338" t="s">
        <v>417</v>
      </c>
      <c r="G65" s="349">
        <v>43186</v>
      </c>
      <c r="H65" s="341" t="s">
        <v>757</v>
      </c>
      <c r="I65" s="341" t="s">
        <v>758</v>
      </c>
      <c r="J65" s="341">
        <v>21</v>
      </c>
      <c r="K65" s="338" t="s">
        <v>796</v>
      </c>
      <c r="L65" s="338" t="s">
        <v>797</v>
      </c>
      <c r="M65" s="342">
        <v>114.99999999999999</v>
      </c>
      <c r="N65" s="342">
        <v>33.5</v>
      </c>
      <c r="O65" s="338"/>
      <c r="P65" s="343"/>
      <c r="Q65" s="344"/>
      <c r="R65" s="343"/>
      <c r="S65" s="344"/>
      <c r="T65" s="343"/>
      <c r="U65" s="338"/>
      <c r="V65" s="344"/>
      <c r="W65" s="342">
        <v>22.4</v>
      </c>
      <c r="X65" s="338"/>
      <c r="Y65" s="338"/>
      <c r="Z65" s="338"/>
      <c r="AA65" s="338"/>
      <c r="AB65" s="338"/>
      <c r="AC65" s="338"/>
      <c r="AD65" s="338"/>
      <c r="AE65" s="344"/>
      <c r="AF65" s="344"/>
      <c r="AG65" s="338"/>
      <c r="AH65" s="338"/>
      <c r="AI65" s="344"/>
      <c r="AJ65" s="338"/>
      <c r="AK65" s="338"/>
      <c r="AL65" s="338"/>
      <c r="AM65" s="338"/>
      <c r="AN65" s="344"/>
      <c r="AO65" s="345"/>
      <c r="AP65" s="344"/>
      <c r="AQ65" s="346" t="s">
        <v>838</v>
      </c>
      <c r="AR65" s="341" t="s">
        <v>758</v>
      </c>
      <c r="AS65" s="341"/>
      <c r="AT65" s="341"/>
      <c r="AU65" s="341"/>
      <c r="AV65" s="341">
        <v>8</v>
      </c>
      <c r="AW65" s="341"/>
      <c r="AX65" s="341"/>
      <c r="AY65" s="341"/>
      <c r="AZ65" s="341" t="s">
        <v>758</v>
      </c>
      <c r="BA65" s="338"/>
      <c r="BB65" s="341">
        <v>0</v>
      </c>
      <c r="BC65" s="341">
        <v>0</v>
      </c>
      <c r="BD65" s="341">
        <v>0</v>
      </c>
      <c r="BE65" s="341">
        <v>0</v>
      </c>
      <c r="BF65" s="341">
        <v>0</v>
      </c>
      <c r="BG65" s="341">
        <v>0</v>
      </c>
      <c r="BH65" s="341">
        <v>0</v>
      </c>
      <c r="BI65" s="341">
        <v>0</v>
      </c>
      <c r="BJ65" s="341">
        <v>0</v>
      </c>
      <c r="BK65" s="341">
        <v>0</v>
      </c>
      <c r="BL65" s="341"/>
      <c r="BM65" s="341"/>
      <c r="BN65" s="341"/>
      <c r="BO65" s="341" t="s">
        <v>758</v>
      </c>
      <c r="BP65" s="347"/>
      <c r="BQ65" s="341"/>
      <c r="BR65" s="341"/>
      <c r="BS65" s="352"/>
      <c r="BT65" s="352"/>
      <c r="BU65" s="341"/>
      <c r="BV65" s="341" t="s">
        <v>758</v>
      </c>
      <c r="BW65" s="341">
        <v>1</v>
      </c>
      <c r="BX65" s="338"/>
      <c r="BY65" s="338" t="s">
        <v>853</v>
      </c>
    </row>
    <row r="66" spans="1:77" x14ac:dyDescent="0.15">
      <c r="A66" s="338">
        <v>1242</v>
      </c>
      <c r="B66" s="339">
        <v>43200</v>
      </c>
      <c r="C66" s="340" t="s">
        <v>755</v>
      </c>
      <c r="D66" s="338" t="s">
        <v>454</v>
      </c>
      <c r="E66" s="338"/>
      <c r="F66" s="338" t="s">
        <v>417</v>
      </c>
      <c r="G66" s="339">
        <v>43117</v>
      </c>
      <c r="H66" s="341" t="s">
        <v>757</v>
      </c>
      <c r="I66" s="341" t="s">
        <v>758</v>
      </c>
      <c r="J66" s="341">
        <v>24</v>
      </c>
      <c r="K66" s="338" t="s">
        <v>805</v>
      </c>
      <c r="L66" s="338" t="s">
        <v>806</v>
      </c>
      <c r="M66" s="342">
        <v>83.6</v>
      </c>
      <c r="N66" s="342">
        <v>31.499999999999996</v>
      </c>
      <c r="O66" s="338"/>
      <c r="P66" s="343"/>
      <c r="Q66" s="344"/>
      <c r="R66" s="343"/>
      <c r="S66" s="344"/>
      <c r="T66" s="343"/>
      <c r="U66" s="338"/>
      <c r="V66" s="344"/>
      <c r="W66" s="342">
        <v>23.5</v>
      </c>
      <c r="X66" s="343"/>
      <c r="Y66" s="338"/>
      <c r="Z66" s="343"/>
      <c r="AA66" s="338"/>
      <c r="AB66" s="343"/>
      <c r="AC66" s="338"/>
      <c r="AD66" s="338"/>
      <c r="AE66" s="344"/>
      <c r="AF66" s="344"/>
      <c r="AG66" s="343"/>
      <c r="AH66" s="338"/>
      <c r="AI66" s="344"/>
      <c r="AJ66" s="338"/>
      <c r="AK66" s="338"/>
      <c r="AL66" s="338"/>
      <c r="AM66" s="338"/>
      <c r="AN66" s="344"/>
      <c r="AO66" s="345"/>
      <c r="AP66" s="344"/>
      <c r="AQ66" s="346" t="s">
        <v>838</v>
      </c>
      <c r="AR66" s="341" t="s">
        <v>758</v>
      </c>
      <c r="AS66" s="341"/>
      <c r="AT66" s="341"/>
      <c r="AU66" s="341"/>
      <c r="AV66" s="341">
        <v>7</v>
      </c>
      <c r="AW66" s="341"/>
      <c r="AX66" s="341"/>
      <c r="AY66" s="341"/>
      <c r="AZ66" s="341" t="s">
        <v>758</v>
      </c>
      <c r="BA66" s="338"/>
      <c r="BB66" s="341">
        <v>0</v>
      </c>
      <c r="BC66" s="341">
        <v>0</v>
      </c>
      <c r="BD66" s="341">
        <v>0</v>
      </c>
      <c r="BE66" s="341">
        <v>0</v>
      </c>
      <c r="BF66" s="341">
        <v>0</v>
      </c>
      <c r="BG66" s="341">
        <v>0</v>
      </c>
      <c r="BH66" s="341">
        <v>0</v>
      </c>
      <c r="BI66" s="341">
        <v>0</v>
      </c>
      <c r="BJ66" s="341">
        <v>0</v>
      </c>
      <c r="BK66" s="341">
        <v>0</v>
      </c>
      <c r="BL66" s="341"/>
      <c r="BM66" s="341"/>
      <c r="BN66" s="341"/>
      <c r="BO66" s="341" t="s">
        <v>758</v>
      </c>
      <c r="BP66" s="347"/>
      <c r="BQ66" s="341"/>
      <c r="BR66" s="341"/>
      <c r="BS66" s="338"/>
      <c r="BT66" s="338"/>
      <c r="BU66" s="341"/>
      <c r="BV66" s="341" t="s">
        <v>758</v>
      </c>
      <c r="BW66" s="341"/>
      <c r="BX66" s="338"/>
      <c r="BY66" s="338" t="s">
        <v>854</v>
      </c>
    </row>
  </sheetData>
  <sheetProtection algorithmName="SHA-512" hashValue="XKj5rwn/jmcVni8RI8h7bmooZ4KzfrEFRk4ffWtvdeCBT2FpbfFMk6H+JQ9CXrg2Z0z6eLZqVxKba7CZlnZORQ==" saltValue="AgfVblOSrytXZ+97i604hQ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8299-4EF9-1048-80D0-2D44D1D0B848}">
  <sheetPr codeName="Sheet22"/>
  <dimension ref="A1:BY56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J29" sqref="J29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33">
        <v>4250</v>
      </c>
      <c r="B2" s="26">
        <v>43032</v>
      </c>
      <c r="C2" s="27" t="s">
        <v>377</v>
      </c>
      <c r="D2" s="68" t="s">
        <v>454</v>
      </c>
      <c r="E2" s="24"/>
      <c r="F2" s="24" t="s">
        <v>379</v>
      </c>
      <c r="G2" s="28">
        <v>43026</v>
      </c>
      <c r="H2" s="29" t="s">
        <v>175</v>
      </c>
      <c r="I2" s="29" t="s">
        <v>174</v>
      </c>
      <c r="J2" s="29"/>
      <c r="K2" s="24" t="s">
        <v>296</v>
      </c>
      <c r="L2" s="68" t="s">
        <v>741</v>
      </c>
      <c r="M2" s="320">
        <v>93.936363636363623</v>
      </c>
      <c r="N2" s="320">
        <v>31.872727272727271</v>
      </c>
      <c r="O2" s="24"/>
      <c r="P2" s="25"/>
      <c r="Q2" s="318"/>
      <c r="R2" s="25"/>
      <c r="S2" s="81"/>
      <c r="T2" s="25"/>
      <c r="U2" s="24"/>
      <c r="V2" s="81"/>
      <c r="W2" s="81"/>
      <c r="X2" s="24"/>
      <c r="Y2" s="24"/>
      <c r="Z2" s="24"/>
      <c r="AA2" s="24"/>
      <c r="AB2" s="25"/>
      <c r="AC2" s="24"/>
      <c r="AD2" s="24"/>
      <c r="AE2" s="81"/>
      <c r="AF2" s="81"/>
      <c r="AG2" s="25"/>
      <c r="AH2" s="24"/>
      <c r="AI2" s="81"/>
      <c r="AJ2" s="24"/>
      <c r="AK2" s="24"/>
      <c r="AL2" s="24"/>
      <c r="AM2" s="24"/>
      <c r="AN2" s="81"/>
      <c r="AO2" s="24"/>
      <c r="AP2" s="81"/>
      <c r="AQ2" s="24" t="s">
        <v>381</v>
      </c>
      <c r="AR2" s="29" t="s">
        <v>174</v>
      </c>
      <c r="AS2" s="29"/>
      <c r="AT2" s="29"/>
      <c r="AU2" s="29" t="s">
        <v>382</v>
      </c>
      <c r="AV2" s="29">
        <v>5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/>
      <c r="BO2" s="29" t="s">
        <v>174</v>
      </c>
      <c r="BP2" s="319"/>
      <c r="BQ2" s="29"/>
      <c r="BR2" s="29"/>
      <c r="BS2" s="30"/>
      <c r="BT2" s="30"/>
      <c r="BU2" s="29"/>
      <c r="BV2" s="29" t="s">
        <v>174</v>
      </c>
      <c r="BW2" s="24"/>
      <c r="BX2" s="66"/>
      <c r="BY2" s="67" t="s">
        <v>742</v>
      </c>
    </row>
    <row r="3" spans="1:77" x14ac:dyDescent="0.15">
      <c r="A3" s="33">
        <v>5549</v>
      </c>
      <c r="B3" s="26">
        <v>43032</v>
      </c>
      <c r="C3" s="27" t="s">
        <v>377</v>
      </c>
      <c r="D3" s="68" t="s">
        <v>454</v>
      </c>
      <c r="E3" s="24"/>
      <c r="F3" s="24" t="s">
        <v>379</v>
      </c>
      <c r="G3" s="31">
        <v>43028</v>
      </c>
      <c r="H3" s="29" t="s">
        <v>175</v>
      </c>
      <c r="I3" s="29" t="s">
        <v>174</v>
      </c>
      <c r="J3" s="29"/>
      <c r="K3" s="24" t="s">
        <v>297</v>
      </c>
      <c r="L3" s="68" t="s">
        <v>727</v>
      </c>
      <c r="M3" s="320">
        <v>85.963636363636354</v>
      </c>
      <c r="N3" s="320">
        <v>27.136363636363637</v>
      </c>
      <c r="O3" s="24"/>
      <c r="P3" s="25"/>
      <c r="Q3" s="318"/>
      <c r="R3" s="25"/>
      <c r="S3" s="81"/>
      <c r="T3" s="25"/>
      <c r="U3" s="24"/>
      <c r="V3" s="81"/>
      <c r="W3" s="81"/>
      <c r="X3" s="24"/>
      <c r="Y3" s="24"/>
      <c r="Z3" s="24"/>
      <c r="AA3" s="24"/>
      <c r="AB3" s="24"/>
      <c r="AC3" s="24"/>
      <c r="AD3" s="24"/>
      <c r="AE3" s="81"/>
      <c r="AF3" s="81"/>
      <c r="AG3" s="25"/>
      <c r="AH3" s="24"/>
      <c r="AI3" s="81"/>
      <c r="AJ3" s="24"/>
      <c r="AK3" s="24"/>
      <c r="AL3" s="24"/>
      <c r="AM3" s="24"/>
      <c r="AN3" s="81"/>
      <c r="AO3" s="24"/>
      <c r="AP3" s="81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319"/>
      <c r="BQ3" s="29"/>
      <c r="BR3" s="29"/>
      <c r="BS3" s="24"/>
      <c r="BT3" s="24"/>
      <c r="BU3" s="29"/>
      <c r="BV3" s="29" t="s">
        <v>174</v>
      </c>
      <c r="BW3" s="68">
        <v>1</v>
      </c>
      <c r="BX3" s="66"/>
      <c r="BY3" s="67" t="s">
        <v>728</v>
      </c>
    </row>
    <row r="4" spans="1:77" x14ac:dyDescent="0.15">
      <c r="A4" s="33">
        <v>5770</v>
      </c>
      <c r="B4" s="26">
        <v>43032</v>
      </c>
      <c r="C4" s="27" t="s">
        <v>377</v>
      </c>
      <c r="D4" s="68" t="s">
        <v>454</v>
      </c>
      <c r="E4" s="24"/>
      <c r="F4" s="24" t="s">
        <v>379</v>
      </c>
      <c r="G4" s="28">
        <v>42948</v>
      </c>
      <c r="H4" s="29" t="s">
        <v>175</v>
      </c>
      <c r="I4" s="29" t="s">
        <v>174</v>
      </c>
      <c r="J4" s="29"/>
      <c r="K4" s="24" t="s">
        <v>300</v>
      </c>
      <c r="L4" s="24" t="s">
        <v>517</v>
      </c>
      <c r="M4" s="320">
        <v>95.499999999999986</v>
      </c>
      <c r="N4" s="320">
        <v>30.154545454545453</v>
      </c>
      <c r="O4" s="24" t="s">
        <v>518</v>
      </c>
      <c r="P4" s="25">
        <v>1000</v>
      </c>
      <c r="Q4" s="320">
        <v>36.75454545454545</v>
      </c>
      <c r="R4" s="25"/>
      <c r="S4" s="81"/>
      <c r="T4" s="25"/>
      <c r="U4" s="24"/>
      <c r="V4" s="81"/>
      <c r="W4" s="81"/>
      <c r="X4" s="24"/>
      <c r="Y4" s="24"/>
      <c r="Z4" s="24"/>
      <c r="AA4" s="24"/>
      <c r="AB4" s="24"/>
      <c r="AC4" s="24"/>
      <c r="AD4" s="24"/>
      <c r="AE4" s="81"/>
      <c r="AF4" s="81"/>
      <c r="AG4" s="25"/>
      <c r="AH4" s="24"/>
      <c r="AI4" s="81"/>
      <c r="AJ4" s="24"/>
      <c r="AK4" s="24"/>
      <c r="AL4" s="24"/>
      <c r="AM4" s="24"/>
      <c r="AN4" s="81"/>
      <c r="AO4" s="24"/>
      <c r="AP4" s="81"/>
      <c r="AQ4" s="24" t="s">
        <v>381</v>
      </c>
      <c r="AR4" s="29" t="s">
        <v>174</v>
      </c>
      <c r="AS4" s="29"/>
      <c r="AT4" s="29"/>
      <c r="AU4" s="29" t="s">
        <v>382</v>
      </c>
      <c r="AV4" s="29">
        <v>7</v>
      </c>
      <c r="AW4" s="29"/>
      <c r="AX4" s="29"/>
      <c r="AY4" s="29"/>
      <c r="AZ4" s="29" t="s">
        <v>361</v>
      </c>
      <c r="BA4" s="24"/>
      <c r="BB4" s="29">
        <v>0</v>
      </c>
      <c r="BC4" s="29">
        <v>0</v>
      </c>
      <c r="BD4" s="29">
        <v>7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319"/>
      <c r="BQ4" s="29"/>
      <c r="BR4" s="29"/>
      <c r="BS4" s="24"/>
      <c r="BT4" s="24"/>
      <c r="BU4" s="29"/>
      <c r="BV4" s="29" t="s">
        <v>174</v>
      </c>
      <c r="BW4" s="24"/>
      <c r="BY4" s="32" t="s">
        <v>745</v>
      </c>
    </row>
    <row r="5" spans="1:77" x14ac:dyDescent="0.15">
      <c r="A5" s="33">
        <v>5268</v>
      </c>
      <c r="B5" s="26">
        <v>43032</v>
      </c>
      <c r="C5" s="27" t="s">
        <v>377</v>
      </c>
      <c r="D5" s="68" t="s">
        <v>454</v>
      </c>
      <c r="E5" s="24"/>
      <c r="F5" s="24" t="s">
        <v>379</v>
      </c>
      <c r="G5" s="28">
        <v>43008</v>
      </c>
      <c r="H5" s="29" t="s">
        <v>175</v>
      </c>
      <c r="I5" s="29" t="s">
        <v>174</v>
      </c>
      <c r="J5" s="29"/>
      <c r="K5" s="24" t="s">
        <v>301</v>
      </c>
      <c r="L5" s="24" t="s">
        <v>520</v>
      </c>
      <c r="M5" s="320">
        <v>98.499999999999986</v>
      </c>
      <c r="N5" s="320">
        <v>34.718181818181812</v>
      </c>
      <c r="O5" s="24"/>
      <c r="P5" s="25"/>
      <c r="Q5" s="81"/>
      <c r="R5" s="25"/>
      <c r="S5" s="81"/>
      <c r="T5" s="25"/>
      <c r="U5" s="24"/>
      <c r="V5" s="81"/>
      <c r="W5" s="81"/>
      <c r="X5" s="25"/>
      <c r="Y5" s="24"/>
      <c r="Z5" s="25"/>
      <c r="AA5" s="24"/>
      <c r="AB5" s="25"/>
      <c r="AC5" s="24"/>
      <c r="AD5" s="24"/>
      <c r="AE5" s="81"/>
      <c r="AF5" s="81"/>
      <c r="AG5" s="25"/>
      <c r="AH5" s="24"/>
      <c r="AI5" s="81"/>
      <c r="AJ5" s="24"/>
      <c r="AK5" s="24"/>
      <c r="AL5" s="24"/>
      <c r="AM5" s="24"/>
      <c r="AN5" s="81"/>
      <c r="AO5" s="24"/>
      <c r="AP5" s="81"/>
      <c r="AQ5" s="24" t="s">
        <v>381</v>
      </c>
      <c r="AR5" s="29" t="s">
        <v>174</v>
      </c>
      <c r="AS5" s="29"/>
      <c r="AT5" s="29"/>
      <c r="AU5" s="29" t="s">
        <v>382</v>
      </c>
      <c r="AV5" s="29">
        <v>9.35</v>
      </c>
      <c r="AW5" s="29"/>
      <c r="AX5" s="29"/>
      <c r="AY5" s="29"/>
      <c r="AZ5" s="29" t="s">
        <v>361</v>
      </c>
      <c r="BA5" s="24"/>
      <c r="BB5" s="29">
        <v>3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>
        <v>12</v>
      </c>
      <c r="BO5" s="29" t="s">
        <v>174</v>
      </c>
      <c r="BP5" s="319"/>
      <c r="BQ5" s="29">
        <v>12</v>
      </c>
      <c r="BR5" s="29"/>
      <c r="BS5" s="24"/>
      <c r="BT5" s="24"/>
      <c r="BU5" s="29"/>
      <c r="BV5" s="29" t="s">
        <v>174</v>
      </c>
      <c r="BW5" s="24">
        <v>1</v>
      </c>
      <c r="BX5" s="66"/>
      <c r="BY5" s="67" t="s">
        <v>744</v>
      </c>
    </row>
    <row r="6" spans="1:77" x14ac:dyDescent="0.15">
      <c r="A6" s="33">
        <v>4783</v>
      </c>
      <c r="B6" s="26">
        <v>43032</v>
      </c>
      <c r="C6" s="27" t="s">
        <v>377</v>
      </c>
      <c r="D6" s="68" t="s">
        <v>454</v>
      </c>
      <c r="E6" s="24"/>
      <c r="F6" s="24" t="s">
        <v>379</v>
      </c>
      <c r="G6" s="28">
        <v>42964</v>
      </c>
      <c r="H6" s="29" t="s">
        <v>175</v>
      </c>
      <c r="I6" s="29" t="s">
        <v>174</v>
      </c>
      <c r="J6" s="29"/>
      <c r="K6" s="24" t="s">
        <v>302</v>
      </c>
      <c r="L6" s="24" t="s">
        <v>521</v>
      </c>
      <c r="M6" s="320">
        <v>86.018181818181816</v>
      </c>
      <c r="N6" s="320">
        <v>29.554545454545451</v>
      </c>
      <c r="O6" s="24"/>
      <c r="P6" s="25"/>
      <c r="Q6" s="81"/>
      <c r="R6" s="25"/>
      <c r="S6" s="81"/>
      <c r="T6" s="25"/>
      <c r="U6" s="24"/>
      <c r="V6" s="81"/>
      <c r="W6" s="81"/>
      <c r="X6" s="24"/>
      <c r="Y6" s="24"/>
      <c r="Z6" s="24"/>
      <c r="AA6" s="24"/>
      <c r="AB6" s="24"/>
      <c r="AC6" s="24"/>
      <c r="AD6" s="24"/>
      <c r="AE6" s="81"/>
      <c r="AF6" s="81"/>
      <c r="AG6" s="25"/>
      <c r="AH6" s="24"/>
      <c r="AI6" s="81"/>
      <c r="AJ6" s="24"/>
      <c r="AK6" s="24"/>
      <c r="AL6" s="24"/>
      <c r="AM6" s="24"/>
      <c r="AN6" s="81"/>
      <c r="AO6" s="24"/>
      <c r="AP6" s="81"/>
      <c r="AQ6" s="24" t="s">
        <v>381</v>
      </c>
      <c r="AR6" s="29" t="s">
        <v>174</v>
      </c>
      <c r="AS6" s="29"/>
      <c r="AT6" s="29"/>
      <c r="AU6" s="29" t="s">
        <v>382</v>
      </c>
      <c r="AV6" s="29">
        <v>3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319"/>
      <c r="BQ6" s="29"/>
      <c r="BR6" s="29"/>
      <c r="BS6" s="24"/>
      <c r="BT6" s="24"/>
      <c r="BU6" s="29"/>
      <c r="BV6" s="29" t="s">
        <v>174</v>
      </c>
      <c r="BW6" s="24"/>
      <c r="BX6" s="66"/>
      <c r="BY6" s="67" t="s">
        <v>746</v>
      </c>
    </row>
    <row r="7" spans="1:77" x14ac:dyDescent="0.15">
      <c r="A7" s="33">
        <v>931</v>
      </c>
      <c r="B7" s="26">
        <v>43032</v>
      </c>
      <c r="C7" s="27" t="s">
        <v>377</v>
      </c>
      <c r="D7" s="68" t="s">
        <v>454</v>
      </c>
      <c r="E7" s="24"/>
      <c r="F7" s="24" t="s">
        <v>379</v>
      </c>
      <c r="G7" s="28">
        <v>43008</v>
      </c>
      <c r="H7" s="29" t="s">
        <v>175</v>
      </c>
      <c r="I7" s="29" t="s">
        <v>174</v>
      </c>
      <c r="J7" s="29"/>
      <c r="K7" s="24" t="s">
        <v>303</v>
      </c>
      <c r="L7" s="24" t="s">
        <v>522</v>
      </c>
      <c r="M7" s="320">
        <v>114.31818181818181</v>
      </c>
      <c r="N7" s="320">
        <v>30.77272727272727</v>
      </c>
      <c r="O7" s="24"/>
      <c r="P7" s="25"/>
      <c r="Q7" s="81"/>
      <c r="R7" s="25"/>
      <c r="S7" s="81"/>
      <c r="T7" s="24"/>
      <c r="U7" s="24"/>
      <c r="V7" s="81"/>
      <c r="W7" s="81"/>
      <c r="X7" s="24"/>
      <c r="Y7" s="24"/>
      <c r="Z7" s="24"/>
      <c r="AA7" s="24"/>
      <c r="AB7" s="24"/>
      <c r="AC7" s="24"/>
      <c r="AD7" s="24"/>
      <c r="AE7" s="81"/>
      <c r="AF7" s="81"/>
      <c r="AG7" s="25"/>
      <c r="AH7" s="24"/>
      <c r="AI7" s="81"/>
      <c r="AJ7" s="24"/>
      <c r="AK7" s="24"/>
      <c r="AL7" s="24"/>
      <c r="AM7" s="24"/>
      <c r="AN7" s="81"/>
      <c r="AO7" s="24"/>
      <c r="AP7" s="81"/>
      <c r="AQ7" s="24" t="s">
        <v>381</v>
      </c>
      <c r="AR7" s="29" t="s">
        <v>174</v>
      </c>
      <c r="AS7" s="29"/>
      <c r="AT7" s="29"/>
      <c r="AU7" s="29" t="s">
        <v>382</v>
      </c>
      <c r="AV7" s="29">
        <v>6.8</v>
      </c>
      <c r="AW7" s="29"/>
      <c r="AX7" s="29"/>
      <c r="AY7" s="29"/>
      <c r="AZ7" s="29" t="s">
        <v>361</v>
      </c>
      <c r="BA7" s="24"/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/>
      <c r="BO7" s="29" t="s">
        <v>174</v>
      </c>
      <c r="BP7" s="319"/>
      <c r="BQ7" s="29"/>
      <c r="BR7" s="29"/>
      <c r="BS7" s="24"/>
      <c r="BT7" s="24"/>
      <c r="BU7" s="29"/>
      <c r="BV7" s="29" t="s">
        <v>174</v>
      </c>
      <c r="BW7" s="24"/>
      <c r="BY7" s="32" t="s">
        <v>740</v>
      </c>
    </row>
    <row r="8" spans="1:77" x14ac:dyDescent="0.15">
      <c r="A8" s="33">
        <v>5408</v>
      </c>
      <c r="B8" s="26">
        <v>43032</v>
      </c>
      <c r="C8" s="27" t="s">
        <v>377</v>
      </c>
      <c r="D8" s="68" t="s">
        <v>454</v>
      </c>
      <c r="E8" s="24"/>
      <c r="F8" s="24" t="s">
        <v>379</v>
      </c>
      <c r="G8" s="28">
        <v>42916</v>
      </c>
      <c r="H8" s="29" t="s">
        <v>175</v>
      </c>
      <c r="I8" s="29" t="s">
        <v>174</v>
      </c>
      <c r="J8" s="29"/>
      <c r="K8" s="24" t="s">
        <v>304</v>
      </c>
      <c r="L8" s="68" t="s">
        <v>731</v>
      </c>
      <c r="M8" s="320">
        <v>73.336363636363629</v>
      </c>
      <c r="N8" s="320">
        <v>29.336363636363636</v>
      </c>
      <c r="O8" s="24"/>
      <c r="P8" s="25"/>
      <c r="Q8" s="81"/>
      <c r="R8" s="25"/>
      <c r="S8" s="81"/>
      <c r="T8" s="25"/>
      <c r="U8" s="24"/>
      <c r="V8" s="81"/>
      <c r="W8" s="81"/>
      <c r="X8" s="24"/>
      <c r="Y8" s="24"/>
      <c r="Z8" s="25"/>
      <c r="AA8" s="24"/>
      <c r="AB8" s="25"/>
      <c r="AC8" s="24"/>
      <c r="AD8" s="24"/>
      <c r="AE8" s="81"/>
      <c r="AF8" s="81"/>
      <c r="AG8" s="25"/>
      <c r="AH8" s="24"/>
      <c r="AI8" s="81"/>
      <c r="AJ8" s="24"/>
      <c r="AK8" s="24"/>
      <c r="AL8" s="24"/>
      <c r="AM8" s="24"/>
      <c r="AN8" s="81"/>
      <c r="AO8" s="24"/>
      <c r="AP8" s="81"/>
      <c r="AQ8" s="24" t="s">
        <v>381</v>
      </c>
      <c r="AR8" s="29" t="s">
        <v>174</v>
      </c>
      <c r="AS8" s="29"/>
      <c r="AT8" s="29"/>
      <c r="AU8" s="29" t="s">
        <v>382</v>
      </c>
      <c r="AV8" s="29">
        <v>6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>
        <v>12</v>
      </c>
      <c r="BO8" s="29" t="s">
        <v>174</v>
      </c>
      <c r="BP8" s="319"/>
      <c r="BQ8" s="29">
        <v>12</v>
      </c>
      <c r="BR8" s="29"/>
      <c r="BS8" s="24"/>
      <c r="BT8" s="24"/>
      <c r="BU8" s="29"/>
      <c r="BV8" s="29" t="s">
        <v>174</v>
      </c>
      <c r="BW8" s="24"/>
      <c r="BX8" s="66"/>
      <c r="BY8" s="67" t="s">
        <v>732</v>
      </c>
    </row>
    <row r="9" spans="1:77" x14ac:dyDescent="0.15">
      <c r="A9" s="33"/>
      <c r="B9" s="26">
        <v>43032</v>
      </c>
      <c r="C9" s="27" t="s">
        <v>377</v>
      </c>
      <c r="D9" s="68" t="s">
        <v>454</v>
      </c>
      <c r="E9" s="24"/>
      <c r="F9" s="24" t="s">
        <v>379</v>
      </c>
      <c r="G9" s="28">
        <v>43026</v>
      </c>
      <c r="H9" s="29" t="s">
        <v>175</v>
      </c>
      <c r="I9" s="29" t="s">
        <v>174</v>
      </c>
      <c r="J9" s="29"/>
      <c r="K9" s="24" t="s">
        <v>305</v>
      </c>
      <c r="L9" s="24" t="s">
        <v>631</v>
      </c>
      <c r="M9" s="320">
        <v>88.827272727272714</v>
      </c>
      <c r="N9" s="320">
        <v>30.136363636363633</v>
      </c>
      <c r="O9" s="24"/>
      <c r="P9" s="25"/>
      <c r="Q9" s="81"/>
      <c r="R9" s="25"/>
      <c r="S9" s="81"/>
      <c r="T9" s="25"/>
      <c r="U9" s="24"/>
      <c r="V9" s="81"/>
      <c r="W9" s="81"/>
      <c r="X9" s="24"/>
      <c r="Y9" s="24"/>
      <c r="Z9" s="25"/>
      <c r="AA9" s="24"/>
      <c r="AB9" s="25"/>
      <c r="AC9" s="24"/>
      <c r="AD9" s="24"/>
      <c r="AE9" s="81"/>
      <c r="AF9" s="81"/>
      <c r="AG9" s="25"/>
      <c r="AH9" s="24"/>
      <c r="AI9" s="81"/>
      <c r="AJ9" s="24"/>
      <c r="AK9" s="24"/>
      <c r="AL9" s="24"/>
      <c r="AM9" s="24"/>
      <c r="AN9" s="81"/>
      <c r="AO9" s="24"/>
      <c r="AP9" s="81"/>
      <c r="AQ9" s="24" t="s">
        <v>381</v>
      </c>
      <c r="AR9" s="29" t="s">
        <v>174</v>
      </c>
      <c r="AS9" s="29"/>
      <c r="AT9" s="29"/>
      <c r="AU9" s="29" t="s">
        <v>382</v>
      </c>
      <c r="AV9" s="29">
        <v>5</v>
      </c>
      <c r="AW9" s="29"/>
      <c r="AX9" s="29"/>
      <c r="AY9" s="29"/>
      <c r="AZ9" s="29" t="s">
        <v>361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>
        <v>12</v>
      </c>
      <c r="BO9" s="29" t="s">
        <v>174</v>
      </c>
      <c r="BP9" s="319"/>
      <c r="BQ9" s="29">
        <v>12</v>
      </c>
      <c r="BR9" s="29"/>
      <c r="BS9" s="24"/>
      <c r="BT9" s="24"/>
      <c r="BU9" s="29"/>
      <c r="BV9" s="29" t="s">
        <v>174</v>
      </c>
      <c r="BW9" s="30"/>
      <c r="BX9" s="66"/>
      <c r="BY9" s="67" t="s">
        <v>739</v>
      </c>
    </row>
    <row r="10" spans="1:77" x14ac:dyDescent="0.15">
      <c r="A10" s="33">
        <v>5942</v>
      </c>
      <c r="B10" s="26">
        <v>43032</v>
      </c>
      <c r="C10" s="27" t="s">
        <v>377</v>
      </c>
      <c r="D10" s="68" t="s">
        <v>454</v>
      </c>
      <c r="E10" s="24"/>
      <c r="F10" s="24" t="s">
        <v>379</v>
      </c>
      <c r="G10" s="28">
        <v>42964</v>
      </c>
      <c r="H10" s="29" t="s">
        <v>175</v>
      </c>
      <c r="I10" s="29" t="s">
        <v>174</v>
      </c>
      <c r="J10" s="29"/>
      <c r="K10" s="24" t="s">
        <v>306</v>
      </c>
      <c r="L10" s="24" t="s">
        <v>525</v>
      </c>
      <c r="M10" s="320">
        <v>86.018181818181816</v>
      </c>
      <c r="N10" s="320">
        <v>29.554545454545451</v>
      </c>
      <c r="O10" s="24"/>
      <c r="P10" s="25"/>
      <c r="Q10" s="81"/>
      <c r="R10" s="25"/>
      <c r="S10" s="81"/>
      <c r="T10" s="24"/>
      <c r="U10" s="24"/>
      <c r="V10" s="81"/>
      <c r="W10" s="81"/>
      <c r="X10" s="24"/>
      <c r="Y10" s="24"/>
      <c r="Z10" s="24"/>
      <c r="AA10" s="24"/>
      <c r="AB10" s="24"/>
      <c r="AC10" s="24"/>
      <c r="AD10" s="24"/>
      <c r="AE10" s="81"/>
      <c r="AF10" s="81"/>
      <c r="AG10" s="25"/>
      <c r="AH10" s="24"/>
      <c r="AI10" s="81"/>
      <c r="AJ10" s="24"/>
      <c r="AK10" s="24"/>
      <c r="AL10" s="24"/>
      <c r="AM10" s="24"/>
      <c r="AN10" s="81"/>
      <c r="AO10" s="24"/>
      <c r="AP10" s="81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3</v>
      </c>
      <c r="AW10" s="29"/>
      <c r="AX10" s="29"/>
      <c r="AY10" s="29"/>
      <c r="AZ10" s="29" t="s">
        <v>361</v>
      </c>
      <c r="BA10" s="24"/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/>
      <c r="BM10" s="29" t="s">
        <v>174</v>
      </c>
      <c r="BN10" s="29"/>
      <c r="BO10" s="29" t="s">
        <v>174</v>
      </c>
      <c r="BP10" s="319"/>
      <c r="BQ10" s="29"/>
      <c r="BR10" s="283"/>
      <c r="BS10" s="30"/>
      <c r="BT10" s="30"/>
      <c r="BU10" s="29"/>
      <c r="BV10" s="29" t="s">
        <v>174</v>
      </c>
      <c r="BW10" s="24"/>
      <c r="BY10" s="32" t="s">
        <v>736</v>
      </c>
    </row>
    <row r="11" spans="1:77" x14ac:dyDescent="0.15">
      <c r="A11" s="33"/>
      <c r="B11" s="26">
        <v>43032</v>
      </c>
      <c r="C11" s="27" t="s">
        <v>377</v>
      </c>
      <c r="D11" s="68" t="s">
        <v>454</v>
      </c>
      <c r="E11" s="24"/>
      <c r="F11" s="24" t="s">
        <v>379</v>
      </c>
      <c r="G11" s="28">
        <v>42930</v>
      </c>
      <c r="H11" s="29" t="s">
        <v>175</v>
      </c>
      <c r="I11" s="29" t="s">
        <v>174</v>
      </c>
      <c r="J11" s="29"/>
      <c r="K11" s="24" t="s">
        <v>307</v>
      </c>
      <c r="L11" s="24" t="s">
        <v>327</v>
      </c>
      <c r="M11" s="320">
        <v>96.899999999999991</v>
      </c>
      <c r="N11" s="320">
        <v>34.509090909090908</v>
      </c>
      <c r="O11" s="68" t="s">
        <v>518</v>
      </c>
      <c r="P11" s="25">
        <v>3822</v>
      </c>
      <c r="Q11" s="320">
        <v>35.509090909090908</v>
      </c>
      <c r="R11" s="25"/>
      <c r="S11" s="81"/>
      <c r="T11" s="25"/>
      <c r="U11" s="24"/>
      <c r="V11" s="81"/>
      <c r="W11" s="81"/>
      <c r="X11" s="24"/>
      <c r="Y11" s="24"/>
      <c r="Z11" s="24"/>
      <c r="AA11" s="24"/>
      <c r="AB11" s="24"/>
      <c r="AC11" s="24"/>
      <c r="AD11" s="24"/>
      <c r="AE11" s="81"/>
      <c r="AF11" s="81"/>
      <c r="AG11" s="24"/>
      <c r="AH11" s="24"/>
      <c r="AI11" s="81"/>
      <c r="AJ11" s="24"/>
      <c r="AK11" s="24"/>
      <c r="AL11" s="24"/>
      <c r="AM11" s="24"/>
      <c r="AN11" s="81"/>
      <c r="AO11" s="24"/>
      <c r="AP11" s="81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4.5</v>
      </c>
      <c r="AW11" s="29"/>
      <c r="AX11" s="29"/>
      <c r="AY11" s="29"/>
      <c r="AZ11" s="29" t="s">
        <v>174</v>
      </c>
      <c r="BA11" s="24"/>
      <c r="BB11" s="29">
        <v>18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/>
      <c r="BO11" s="29" t="s">
        <v>174</v>
      </c>
      <c r="BP11" s="319"/>
      <c r="BQ11" s="29"/>
      <c r="BR11" s="29"/>
      <c r="BS11" s="24"/>
      <c r="BT11" s="24"/>
      <c r="BU11" s="29"/>
      <c r="BV11" s="29" t="s">
        <v>174</v>
      </c>
      <c r="BW11" s="24"/>
      <c r="BY11" s="67" t="s">
        <v>730</v>
      </c>
    </row>
    <row r="12" spans="1:77" x14ac:dyDescent="0.15">
      <c r="A12" s="33">
        <v>6342</v>
      </c>
      <c r="B12" s="26">
        <v>43032</v>
      </c>
      <c r="C12" s="27" t="s">
        <v>377</v>
      </c>
      <c r="D12" s="68" t="s">
        <v>454</v>
      </c>
      <c r="E12" s="24"/>
      <c r="F12" s="24" t="s">
        <v>379</v>
      </c>
      <c r="G12" s="31">
        <v>43021</v>
      </c>
      <c r="H12" s="29" t="s">
        <v>175</v>
      </c>
      <c r="I12" s="29" t="s">
        <v>174</v>
      </c>
      <c r="J12" s="29"/>
      <c r="K12" s="24" t="s">
        <v>419</v>
      </c>
      <c r="L12" s="68" t="s">
        <v>721</v>
      </c>
      <c r="M12" s="320">
        <v>99.318181818181813</v>
      </c>
      <c r="N12" s="320">
        <v>26.109090909090906</v>
      </c>
      <c r="O12" s="24"/>
      <c r="P12" s="24"/>
      <c r="Q12" s="318"/>
      <c r="R12" s="24"/>
      <c r="S12" s="318"/>
      <c r="T12" s="24"/>
      <c r="U12" s="24"/>
      <c r="V12" s="81"/>
      <c r="W12" s="81"/>
      <c r="X12" s="24"/>
      <c r="Y12" s="24"/>
      <c r="Z12" s="24"/>
      <c r="AA12" s="24"/>
      <c r="AB12" s="24"/>
      <c r="AC12" s="24"/>
      <c r="AD12" s="24"/>
      <c r="AE12" s="81"/>
      <c r="AF12" s="81"/>
      <c r="AG12" s="24"/>
      <c r="AH12" s="24"/>
      <c r="AI12" s="91"/>
      <c r="AJ12" s="24"/>
      <c r="AK12" s="24"/>
      <c r="AL12" s="24"/>
      <c r="AM12" s="24"/>
      <c r="AN12" s="81"/>
      <c r="AO12" s="24"/>
      <c r="AP12" s="81"/>
      <c r="AQ12" t="s">
        <v>381</v>
      </c>
      <c r="AR12" s="29" t="s">
        <v>174</v>
      </c>
      <c r="AS12" s="29"/>
      <c r="AT12" s="29"/>
      <c r="AU12" s="29" t="s">
        <v>382</v>
      </c>
      <c r="AV12" s="29">
        <v>6.8</v>
      </c>
      <c r="AW12" s="29"/>
      <c r="AX12" s="29"/>
      <c r="AY12" s="29"/>
      <c r="AZ12" s="29" t="s">
        <v>174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74" t="s">
        <v>174</v>
      </c>
      <c r="BN12" s="29"/>
      <c r="BO12" s="29" t="s">
        <v>174</v>
      </c>
      <c r="BP12" s="319"/>
      <c r="BQ12" s="29"/>
      <c r="BR12" s="29"/>
      <c r="BS12" s="30"/>
      <c r="BT12" s="30"/>
      <c r="BU12" s="29"/>
      <c r="BV12" s="29" t="s">
        <v>174</v>
      </c>
      <c r="BW12" s="24">
        <v>1</v>
      </c>
      <c r="BY12" s="67" t="s">
        <v>722</v>
      </c>
    </row>
    <row r="13" spans="1:77" x14ac:dyDescent="0.15">
      <c r="A13" s="33">
        <v>5633</v>
      </c>
      <c r="B13" s="26">
        <v>43032</v>
      </c>
      <c r="C13" s="27" t="s">
        <v>377</v>
      </c>
      <c r="D13" s="68" t="s">
        <v>454</v>
      </c>
      <c r="E13" s="24"/>
      <c r="F13" s="24" t="s">
        <v>379</v>
      </c>
      <c r="G13" s="31">
        <v>43008</v>
      </c>
      <c r="H13" s="74" t="s">
        <v>175</v>
      </c>
      <c r="I13" s="74" t="s">
        <v>174</v>
      </c>
      <c r="J13" s="29"/>
      <c r="K13" s="24" t="s">
        <v>495</v>
      </c>
      <c r="L13" s="68" t="s">
        <v>737</v>
      </c>
      <c r="M13" s="320">
        <v>112.69999999999999</v>
      </c>
      <c r="N13" s="320">
        <v>29.299999999999994</v>
      </c>
      <c r="O13" s="24"/>
      <c r="P13" s="25"/>
      <c r="Q13" s="81"/>
      <c r="R13" s="25"/>
      <c r="S13" s="81"/>
      <c r="T13" s="24"/>
      <c r="U13" s="24"/>
      <c r="V13" s="81"/>
      <c r="W13" s="81"/>
      <c r="X13" s="24"/>
      <c r="Y13" s="24"/>
      <c r="Z13" s="24"/>
      <c r="AA13" s="24"/>
      <c r="AB13" s="24"/>
      <c r="AC13" s="24"/>
      <c r="AD13" s="24"/>
      <c r="AE13" s="81"/>
      <c r="AF13" s="81"/>
      <c r="AG13" s="25"/>
      <c r="AH13" s="24"/>
      <c r="AI13" s="81"/>
      <c r="AJ13" s="24"/>
      <c r="AK13" s="24"/>
      <c r="AL13" s="24"/>
      <c r="AM13" s="24"/>
      <c r="AN13" s="81"/>
      <c r="AO13" s="24"/>
      <c r="AP13" s="81"/>
      <c r="AQ13" s="24" t="s">
        <v>381</v>
      </c>
      <c r="AR13" s="29" t="s">
        <v>174</v>
      </c>
      <c r="AS13" s="29"/>
      <c r="AT13" s="29"/>
      <c r="AU13" s="74" t="s">
        <v>382</v>
      </c>
      <c r="AV13" s="29">
        <v>3</v>
      </c>
      <c r="AW13" s="29"/>
      <c r="AX13" s="29"/>
      <c r="AY13" s="29"/>
      <c r="AZ13" s="29" t="s">
        <v>361</v>
      </c>
      <c r="BA13" s="24"/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>
        <v>12</v>
      </c>
      <c r="BO13" s="29" t="s">
        <v>174</v>
      </c>
      <c r="BP13" s="319"/>
      <c r="BQ13" s="29">
        <v>12</v>
      </c>
      <c r="BR13" s="29"/>
      <c r="BS13" s="30"/>
      <c r="BT13" s="30"/>
      <c r="BU13" s="29"/>
      <c r="BV13" s="29" t="s">
        <v>174</v>
      </c>
      <c r="BW13" s="24">
        <v>1</v>
      </c>
      <c r="BY13" s="32" t="s">
        <v>738</v>
      </c>
    </row>
    <row r="14" spans="1:77" x14ac:dyDescent="0.15">
      <c r="A14" s="33"/>
      <c r="B14" s="26">
        <v>43032</v>
      </c>
      <c r="C14" s="27" t="s">
        <v>377</v>
      </c>
      <c r="D14" s="68" t="s">
        <v>454</v>
      </c>
      <c r="E14" s="24"/>
      <c r="F14" s="24" t="s">
        <v>379</v>
      </c>
      <c r="G14" s="28">
        <v>42947</v>
      </c>
      <c r="H14" s="29" t="s">
        <v>174</v>
      </c>
      <c r="I14" s="29" t="s">
        <v>500</v>
      </c>
      <c r="J14" s="29"/>
      <c r="K14" s="68" t="s">
        <v>531</v>
      </c>
      <c r="L14" s="68" t="s">
        <v>634</v>
      </c>
      <c r="M14" s="320">
        <v>87.590909090909079</v>
      </c>
      <c r="N14" s="320">
        <v>24.263636363636362</v>
      </c>
      <c r="O14" s="24"/>
      <c r="P14" s="25"/>
      <c r="Q14" s="81"/>
      <c r="R14" s="25"/>
      <c r="S14" s="81"/>
      <c r="T14" s="25"/>
      <c r="U14" s="24"/>
      <c r="V14" s="81"/>
      <c r="W14" s="81"/>
      <c r="X14" s="24"/>
      <c r="Y14" s="24"/>
      <c r="Z14" s="24"/>
      <c r="AA14" s="24"/>
      <c r="AB14" s="24"/>
      <c r="AC14" s="24"/>
      <c r="AD14" s="24"/>
      <c r="AE14" s="81"/>
      <c r="AF14" s="81"/>
      <c r="AG14" s="24"/>
      <c r="AH14" s="24"/>
      <c r="AI14" s="81"/>
      <c r="AJ14" s="24"/>
      <c r="AK14" s="24"/>
      <c r="AL14" s="24"/>
      <c r="AM14" s="24"/>
      <c r="AN14" s="81"/>
      <c r="AO14" s="24"/>
      <c r="AP14" s="81"/>
      <c r="AQ14" s="24" t="s">
        <v>381</v>
      </c>
      <c r="AR14" s="29" t="s">
        <v>174</v>
      </c>
      <c r="AS14" s="29"/>
      <c r="AT14" s="29"/>
      <c r="AU14" s="29"/>
      <c r="AV14" s="29"/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29"/>
      <c r="BN14" s="29"/>
      <c r="BO14" s="29" t="s">
        <v>174</v>
      </c>
      <c r="BP14" s="321">
        <v>81.818181818181813</v>
      </c>
      <c r="BQ14" s="29"/>
      <c r="BR14" s="29"/>
      <c r="BS14" s="24"/>
      <c r="BT14" s="24"/>
      <c r="BU14" s="29"/>
      <c r="BV14" s="29" t="s">
        <v>174</v>
      </c>
      <c r="BW14" s="68">
        <v>1</v>
      </c>
      <c r="BX14" t="s">
        <v>592</v>
      </c>
      <c r="BY14" s="32" t="s">
        <v>720</v>
      </c>
    </row>
    <row r="15" spans="1:77" x14ac:dyDescent="0.15">
      <c r="A15" s="33">
        <v>6122</v>
      </c>
      <c r="B15" s="26">
        <v>43032</v>
      </c>
      <c r="C15" s="27" t="s">
        <v>377</v>
      </c>
      <c r="D15" s="68" t="s">
        <v>454</v>
      </c>
      <c r="E15" s="24"/>
      <c r="F15" s="24" t="s">
        <v>379</v>
      </c>
      <c r="G15" s="28">
        <v>42949</v>
      </c>
      <c r="H15" s="29" t="s">
        <v>175</v>
      </c>
      <c r="I15" s="29" t="s">
        <v>174</v>
      </c>
      <c r="J15" s="29"/>
      <c r="K15" s="24" t="s">
        <v>594</v>
      </c>
      <c r="L15" s="24" t="s">
        <v>595</v>
      </c>
      <c r="M15" s="320">
        <v>70</v>
      </c>
      <c r="N15" s="320">
        <v>25.909090909090907</v>
      </c>
      <c r="O15" s="24"/>
      <c r="P15" s="25"/>
      <c r="Q15" s="81"/>
      <c r="R15" s="25"/>
      <c r="S15" s="81"/>
      <c r="T15" s="25"/>
      <c r="U15" s="24"/>
      <c r="V15" s="81"/>
      <c r="W15" s="81"/>
      <c r="X15" s="25"/>
      <c r="Y15" s="24"/>
      <c r="Z15" s="25"/>
      <c r="AA15" s="24"/>
      <c r="AB15" s="25"/>
      <c r="AC15" s="24"/>
      <c r="AD15" s="24"/>
      <c r="AE15" s="81"/>
      <c r="AF15" s="81"/>
      <c r="AG15" s="25"/>
      <c r="AH15" s="24"/>
      <c r="AI15" s="81"/>
      <c r="AJ15" s="24"/>
      <c r="AK15" s="24"/>
      <c r="AL15" s="24"/>
      <c r="AM15" s="24"/>
      <c r="AN15" s="81"/>
      <c r="AO15" s="24"/>
      <c r="AP15" s="81"/>
      <c r="AQ15" s="24" t="s">
        <v>381</v>
      </c>
      <c r="AR15" s="29" t="s">
        <v>174</v>
      </c>
      <c r="AS15" s="29"/>
      <c r="AT15" s="29"/>
      <c r="AU15" s="29" t="s">
        <v>382</v>
      </c>
      <c r="AV15" s="29">
        <v>7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321">
        <v>163.58181818181816</v>
      </c>
      <c r="BQ15" s="29"/>
      <c r="BR15" s="283"/>
      <c r="BS15" s="30"/>
      <c r="BT15" s="30"/>
      <c r="BU15" s="29"/>
      <c r="BV15" s="29" t="s">
        <v>174</v>
      </c>
      <c r="BW15" s="24"/>
      <c r="BY15" s="67" t="s">
        <v>726</v>
      </c>
    </row>
    <row r="16" spans="1:77" x14ac:dyDescent="0.15">
      <c r="A16" s="33"/>
      <c r="B16" s="26">
        <v>43032</v>
      </c>
      <c r="C16" s="27" t="s">
        <v>377</v>
      </c>
      <c r="D16" s="68" t="s">
        <v>454</v>
      </c>
      <c r="E16" s="24"/>
      <c r="F16" s="24" t="s">
        <v>379</v>
      </c>
      <c r="G16" s="28">
        <v>42587</v>
      </c>
      <c r="H16" s="29" t="s">
        <v>175</v>
      </c>
      <c r="I16" s="29" t="s">
        <v>174</v>
      </c>
      <c r="J16" s="29"/>
      <c r="K16" s="24" t="s">
        <v>597</v>
      </c>
      <c r="L16" s="24" t="s">
        <v>638</v>
      </c>
      <c r="M16" s="320">
        <v>77.999999999999972</v>
      </c>
      <c r="N16" s="320">
        <v>27.652892561983467</v>
      </c>
      <c r="O16" s="24"/>
      <c r="P16" s="25"/>
      <c r="Q16" s="81"/>
      <c r="R16" s="25"/>
      <c r="S16" s="81"/>
      <c r="T16" s="25"/>
      <c r="U16" s="24"/>
      <c r="V16" s="81"/>
      <c r="W16" s="81"/>
      <c r="X16" s="25"/>
      <c r="Y16" s="24"/>
      <c r="Z16" s="25"/>
      <c r="AA16" s="24"/>
      <c r="AB16" s="25"/>
      <c r="AC16" s="24"/>
      <c r="AD16" s="24"/>
      <c r="AE16" s="81"/>
      <c r="AF16" s="81"/>
      <c r="AG16" s="25"/>
      <c r="AH16" s="24"/>
      <c r="AI16" s="81"/>
      <c r="AJ16" s="24"/>
      <c r="AK16" s="24"/>
      <c r="AL16" s="24"/>
      <c r="AM16" s="24"/>
      <c r="AN16" s="81"/>
      <c r="AO16" s="24"/>
      <c r="AP16" s="81"/>
      <c r="AQ16" s="24" t="s">
        <v>381</v>
      </c>
      <c r="AR16" s="29" t="s">
        <v>174</v>
      </c>
      <c r="AS16" s="29"/>
      <c r="AT16" s="29"/>
      <c r="AU16" s="29" t="s">
        <v>382</v>
      </c>
      <c r="AV16" s="29">
        <v>4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>
        <v>12</v>
      </c>
      <c r="BO16" s="29" t="s">
        <v>174</v>
      </c>
      <c r="BP16" s="319"/>
      <c r="BQ16" s="29"/>
      <c r="BR16" s="29"/>
      <c r="BS16" s="24"/>
      <c r="BT16" s="24"/>
      <c r="BU16" s="29"/>
      <c r="BV16" s="29" t="s">
        <v>174</v>
      </c>
      <c r="BW16" s="24"/>
      <c r="BX16" s="66"/>
      <c r="BY16" s="269" t="s">
        <v>639</v>
      </c>
    </row>
    <row r="17" spans="1:77" x14ac:dyDescent="0.15">
      <c r="A17" s="33"/>
      <c r="B17" s="26">
        <v>43032</v>
      </c>
      <c r="C17" s="27" t="s">
        <v>377</v>
      </c>
      <c r="D17" s="68" t="s">
        <v>454</v>
      </c>
      <c r="E17" s="24"/>
      <c r="F17" s="24" t="s">
        <v>379</v>
      </c>
      <c r="G17" s="28">
        <v>42916</v>
      </c>
      <c r="H17" s="74" t="s">
        <v>175</v>
      </c>
      <c r="I17" s="74" t="s">
        <v>174</v>
      </c>
      <c r="J17" s="29"/>
      <c r="K17" s="68" t="s">
        <v>676</v>
      </c>
      <c r="L17" s="68" t="s">
        <v>677</v>
      </c>
      <c r="M17" s="320">
        <v>70.999999999999986</v>
      </c>
      <c r="N17" s="320">
        <v>35.199999999999996</v>
      </c>
      <c r="O17" s="24"/>
      <c r="P17" s="25"/>
      <c r="Q17" s="81"/>
      <c r="R17" s="25"/>
      <c r="S17" s="81"/>
      <c r="T17" s="25"/>
      <c r="U17" s="24"/>
      <c r="V17" s="81"/>
      <c r="W17" s="81"/>
      <c r="X17" s="25"/>
      <c r="Y17" s="24"/>
      <c r="Z17" s="25"/>
      <c r="AA17" s="24"/>
      <c r="AB17" s="25"/>
      <c r="AC17" s="24"/>
      <c r="AD17" s="24"/>
      <c r="AE17" s="81"/>
      <c r="AF17" s="81"/>
      <c r="AG17" s="25"/>
      <c r="AH17" s="24"/>
      <c r="AI17" s="81"/>
      <c r="AJ17" s="24"/>
      <c r="AK17" s="24"/>
      <c r="AL17" s="24"/>
      <c r="AM17" s="24"/>
      <c r="AN17" s="81"/>
      <c r="AO17" s="24"/>
      <c r="AP17" s="81"/>
      <c r="AQ17" s="24" t="s">
        <v>381</v>
      </c>
      <c r="AR17" s="29" t="s">
        <v>174</v>
      </c>
      <c r="AS17" s="29"/>
      <c r="AT17" s="29"/>
      <c r="AU17" s="29" t="s">
        <v>382</v>
      </c>
      <c r="AV17" s="29">
        <v>6</v>
      </c>
      <c r="AW17" s="29"/>
      <c r="AX17" s="29"/>
      <c r="AY17" s="29"/>
      <c r="AZ17" s="74" t="s">
        <v>361</v>
      </c>
      <c r="BA17" s="24"/>
      <c r="BB17" s="29">
        <v>0</v>
      </c>
      <c r="BC17" s="29">
        <v>15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74" t="s">
        <v>174</v>
      </c>
      <c r="BN17" s="29"/>
      <c r="BO17" s="74" t="s">
        <v>174</v>
      </c>
      <c r="BP17" s="319"/>
      <c r="BQ17" s="29"/>
      <c r="BR17" s="29"/>
      <c r="BS17" s="24"/>
      <c r="BT17" s="24"/>
      <c r="BU17" s="29"/>
      <c r="BV17" s="74" t="s">
        <v>174</v>
      </c>
      <c r="BW17" s="24"/>
      <c r="BX17" s="266" t="s">
        <v>679</v>
      </c>
      <c r="BY17" s="269" t="s">
        <v>747</v>
      </c>
    </row>
    <row r="18" spans="1:77" x14ac:dyDescent="0.15">
      <c r="A18" s="33"/>
      <c r="B18" s="26">
        <v>43032</v>
      </c>
      <c r="C18" s="27" t="s">
        <v>377</v>
      </c>
      <c r="D18" s="68" t="s">
        <v>454</v>
      </c>
      <c r="E18" s="24"/>
      <c r="F18" s="24" t="s">
        <v>379</v>
      </c>
      <c r="G18" s="28">
        <v>42966</v>
      </c>
      <c r="H18" s="74" t="s">
        <v>175</v>
      </c>
      <c r="I18" s="74" t="s">
        <v>174</v>
      </c>
      <c r="J18" s="74"/>
      <c r="K18" s="68" t="s">
        <v>691</v>
      </c>
      <c r="L18" s="68" t="s">
        <v>692</v>
      </c>
      <c r="M18" s="320">
        <v>73.099999999999994</v>
      </c>
      <c r="N18" s="320">
        <v>27.554545454545451</v>
      </c>
      <c r="O18" s="24"/>
      <c r="P18" s="25"/>
      <c r="Q18" s="81"/>
      <c r="R18" s="25"/>
      <c r="S18" s="81"/>
      <c r="T18" s="25"/>
      <c r="U18" s="24"/>
      <c r="V18" s="81"/>
      <c r="W18" s="81"/>
      <c r="X18" s="25"/>
      <c r="Y18" s="24"/>
      <c r="Z18" s="25"/>
      <c r="AA18" s="24"/>
      <c r="AB18" s="25"/>
      <c r="AC18" s="24"/>
      <c r="AD18" s="24"/>
      <c r="AE18" s="81"/>
      <c r="AF18" s="81"/>
      <c r="AG18" s="25"/>
      <c r="AH18" s="24"/>
      <c r="AI18" s="81"/>
      <c r="AJ18" s="24"/>
      <c r="AK18" s="24"/>
      <c r="AL18" s="24"/>
      <c r="AM18" s="24"/>
      <c r="AN18" s="81"/>
      <c r="AO18" s="24"/>
      <c r="AP18" s="81"/>
      <c r="AQ18" s="24" t="s">
        <v>381</v>
      </c>
      <c r="AR18" s="29" t="s">
        <v>174</v>
      </c>
      <c r="AS18" s="29"/>
      <c r="AT18" s="29"/>
      <c r="AU18" s="29" t="s">
        <v>382</v>
      </c>
      <c r="AV18" s="29">
        <v>5</v>
      </c>
      <c r="AW18" s="29"/>
      <c r="AX18" s="29"/>
      <c r="AY18" s="29"/>
      <c r="AZ18" s="74" t="s">
        <v>361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74" t="s">
        <v>174</v>
      </c>
      <c r="BN18" s="29"/>
      <c r="BO18" s="74" t="s">
        <v>174</v>
      </c>
      <c r="BP18" s="319"/>
      <c r="BQ18" s="29"/>
      <c r="BR18" s="29"/>
      <c r="BS18" s="24"/>
      <c r="BT18" s="24"/>
      <c r="BU18" s="29"/>
      <c r="BV18" s="74" t="s">
        <v>174</v>
      </c>
      <c r="BW18" s="24">
        <v>1</v>
      </c>
      <c r="BX18" s="308"/>
      <c r="BY18" s="269" t="s">
        <v>729</v>
      </c>
    </row>
    <row r="19" spans="1:77" x14ac:dyDescent="0.15">
      <c r="A19" s="33"/>
      <c r="B19" s="26">
        <v>43032</v>
      </c>
      <c r="C19" s="27" t="s">
        <v>377</v>
      </c>
      <c r="D19" s="68" t="s">
        <v>454</v>
      </c>
      <c r="E19" s="24"/>
      <c r="F19" s="24" t="s">
        <v>379</v>
      </c>
      <c r="G19" s="28">
        <v>42941</v>
      </c>
      <c r="H19" s="74" t="s">
        <v>175</v>
      </c>
      <c r="I19" s="74" t="s">
        <v>174</v>
      </c>
      <c r="J19" s="74"/>
      <c r="K19" s="68" t="s">
        <v>705</v>
      </c>
      <c r="L19" s="68" t="s">
        <v>748</v>
      </c>
      <c r="M19" s="320">
        <v>75</v>
      </c>
      <c r="N19" s="320">
        <v>30.881818181818179</v>
      </c>
      <c r="O19" s="24"/>
      <c r="P19" s="25"/>
      <c r="Q19" s="81"/>
      <c r="R19" s="25"/>
      <c r="S19" s="81"/>
      <c r="T19" s="25"/>
      <c r="U19" s="24"/>
      <c r="V19" s="81"/>
      <c r="W19" s="81"/>
      <c r="X19" s="25"/>
      <c r="Y19" s="24"/>
      <c r="Z19" s="25"/>
      <c r="AA19" s="24"/>
      <c r="AB19" s="25"/>
      <c r="AC19" s="24"/>
      <c r="AD19" s="24"/>
      <c r="AE19" s="81"/>
      <c r="AF19" s="81"/>
      <c r="AG19" s="25"/>
      <c r="AH19" s="24"/>
      <c r="AI19" s="81"/>
      <c r="AJ19" s="24"/>
      <c r="AK19" s="24"/>
      <c r="AL19" s="24"/>
      <c r="AM19" s="24"/>
      <c r="AN19" s="81"/>
      <c r="AO19" s="24"/>
      <c r="AP19" s="81"/>
      <c r="AQ19" s="24" t="s">
        <v>381</v>
      </c>
      <c r="AR19" s="29" t="s">
        <v>174</v>
      </c>
      <c r="AS19" s="29"/>
      <c r="AT19" s="29"/>
      <c r="AU19" s="29"/>
      <c r="AV19" s="29"/>
      <c r="AW19" s="29"/>
      <c r="AX19" s="29"/>
      <c r="AY19" s="29"/>
      <c r="AZ19" s="74" t="s">
        <v>174</v>
      </c>
      <c r="BA19" s="24"/>
      <c r="BB19" s="29">
        <v>0</v>
      </c>
      <c r="BC19" s="29">
        <v>5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74" t="s">
        <v>174</v>
      </c>
      <c r="BN19" s="29"/>
      <c r="BO19" s="74" t="s">
        <v>174</v>
      </c>
      <c r="BP19" s="319"/>
      <c r="BQ19" s="29"/>
      <c r="BR19" s="29"/>
      <c r="BS19" s="24"/>
      <c r="BT19" s="24"/>
      <c r="BU19" s="29"/>
      <c r="BV19" s="74" t="s">
        <v>174</v>
      </c>
      <c r="BW19" s="24"/>
      <c r="BX19" s="308"/>
      <c r="BY19" s="269" t="s">
        <v>749</v>
      </c>
    </row>
    <row r="20" spans="1:77" x14ac:dyDescent="0.15">
      <c r="A20" s="33"/>
      <c r="B20" s="26">
        <v>43032</v>
      </c>
      <c r="C20" s="27" t="s">
        <v>377</v>
      </c>
      <c r="D20" s="68" t="s">
        <v>454</v>
      </c>
      <c r="E20" s="24"/>
      <c r="F20" s="24" t="s">
        <v>379</v>
      </c>
      <c r="G20" s="28">
        <v>42916</v>
      </c>
      <c r="H20" s="74" t="s">
        <v>175</v>
      </c>
      <c r="I20" s="74" t="s">
        <v>174</v>
      </c>
      <c r="J20" s="74"/>
      <c r="K20" s="68" t="s">
        <v>708</v>
      </c>
      <c r="L20" s="68" t="s">
        <v>709</v>
      </c>
      <c r="M20" s="320">
        <v>87.954545454545453</v>
      </c>
      <c r="N20" s="320">
        <v>34.881818181818176</v>
      </c>
      <c r="O20" s="24"/>
      <c r="P20" s="25"/>
      <c r="Q20" s="81"/>
      <c r="R20" s="25"/>
      <c r="S20" s="81"/>
      <c r="T20" s="25"/>
      <c r="U20" s="24"/>
      <c r="V20" s="81"/>
      <c r="W20" s="81"/>
      <c r="X20" s="25"/>
      <c r="Y20" s="24"/>
      <c r="Z20" s="25"/>
      <c r="AA20" s="24"/>
      <c r="AB20" s="25"/>
      <c r="AC20" s="24"/>
      <c r="AD20" s="24"/>
      <c r="AE20" s="81"/>
      <c r="AF20" s="81"/>
      <c r="AG20" s="25"/>
      <c r="AH20" s="24"/>
      <c r="AI20" s="81"/>
      <c r="AJ20" s="24"/>
      <c r="AK20" s="24"/>
      <c r="AL20" s="24"/>
      <c r="AM20" s="24"/>
      <c r="AN20" s="81"/>
      <c r="AO20" s="24"/>
      <c r="AP20" s="81"/>
      <c r="AQ20" s="24" t="s">
        <v>381</v>
      </c>
      <c r="AR20" s="29" t="s">
        <v>174</v>
      </c>
      <c r="AS20" s="29"/>
      <c r="AT20" s="29"/>
      <c r="AU20" s="29" t="s">
        <v>382</v>
      </c>
      <c r="AV20" s="29">
        <v>8</v>
      </c>
      <c r="AW20" s="29"/>
      <c r="AX20" s="29"/>
      <c r="AY20" s="29"/>
      <c r="AZ20" s="74" t="s">
        <v>174</v>
      </c>
      <c r="BA20" s="24"/>
      <c r="BB20" s="29">
        <v>4</v>
      </c>
      <c r="BC20" s="29">
        <v>0</v>
      </c>
      <c r="BD20" s="29">
        <v>10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74" t="s">
        <v>174</v>
      </c>
      <c r="BN20" s="29"/>
      <c r="BO20" s="74" t="s">
        <v>174</v>
      </c>
      <c r="BP20" s="319"/>
      <c r="BQ20" s="29"/>
      <c r="BR20" s="29"/>
      <c r="BS20" s="24"/>
      <c r="BT20" s="24"/>
      <c r="BU20" s="29"/>
      <c r="BV20" s="74" t="s">
        <v>174</v>
      </c>
      <c r="BW20" s="24">
        <v>1</v>
      </c>
      <c r="BX20" s="308"/>
      <c r="BY20" s="269" t="s">
        <v>743</v>
      </c>
    </row>
    <row r="21" spans="1:77" x14ac:dyDescent="0.15">
      <c r="A21" s="33"/>
      <c r="B21" s="26">
        <v>43032</v>
      </c>
      <c r="C21" s="27" t="s">
        <v>377</v>
      </c>
      <c r="D21" s="68" t="s">
        <v>454</v>
      </c>
      <c r="E21" s="24"/>
      <c r="F21" s="24" t="s">
        <v>379</v>
      </c>
      <c r="G21" s="28">
        <v>43006</v>
      </c>
      <c r="H21" s="74" t="s">
        <v>175</v>
      </c>
      <c r="I21" s="74" t="s">
        <v>174</v>
      </c>
      <c r="J21" s="74"/>
      <c r="K21" s="68" t="s">
        <v>723</v>
      </c>
      <c r="L21" s="68" t="s">
        <v>724</v>
      </c>
      <c r="M21" s="320">
        <v>89.999999999999986</v>
      </c>
      <c r="N21" s="320">
        <v>26.36363636363636</v>
      </c>
      <c r="O21" s="24"/>
      <c r="P21" s="25"/>
      <c r="Q21" s="81"/>
      <c r="R21" s="25"/>
      <c r="S21" s="81"/>
      <c r="T21" s="25"/>
      <c r="U21" s="24"/>
      <c r="V21" s="81"/>
      <c r="W21" s="81"/>
      <c r="X21" s="25"/>
      <c r="Y21" s="24"/>
      <c r="Z21" s="25"/>
      <c r="AA21" s="24"/>
      <c r="AB21" s="25"/>
      <c r="AC21" s="24"/>
      <c r="AD21" s="24"/>
      <c r="AE21" s="81"/>
      <c r="AF21" s="81"/>
      <c r="AG21" s="25"/>
      <c r="AH21" s="24"/>
      <c r="AI21" s="81"/>
      <c r="AJ21" s="24"/>
      <c r="AK21" s="24"/>
      <c r="AL21" s="24"/>
      <c r="AM21" s="24"/>
      <c r="AN21" s="81"/>
      <c r="AO21" s="24"/>
      <c r="AP21" s="81"/>
      <c r="AQ21" s="24" t="s">
        <v>381</v>
      </c>
      <c r="AR21" s="29" t="s">
        <v>174</v>
      </c>
      <c r="AS21" s="29"/>
      <c r="AT21" s="29"/>
      <c r="AU21" s="29" t="s">
        <v>382</v>
      </c>
      <c r="AV21" s="29">
        <v>7</v>
      </c>
      <c r="AW21" s="29"/>
      <c r="AX21" s="29"/>
      <c r="AY21" s="29"/>
      <c r="AZ21" s="74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74" t="s">
        <v>174</v>
      </c>
      <c r="BN21" s="29"/>
      <c r="BO21" s="74" t="s">
        <v>174</v>
      </c>
      <c r="BP21" s="319"/>
      <c r="BQ21" s="29"/>
      <c r="BR21" s="29"/>
      <c r="BS21" s="24"/>
      <c r="BT21" s="24"/>
      <c r="BU21" s="29"/>
      <c r="BV21" s="74" t="s">
        <v>174</v>
      </c>
      <c r="BW21" s="24">
        <v>1</v>
      </c>
      <c r="BX21" s="308"/>
      <c r="BY21" s="269" t="s">
        <v>725</v>
      </c>
    </row>
    <row r="22" spans="1:77" x14ac:dyDescent="0.15">
      <c r="A22" s="33"/>
      <c r="B22" s="26">
        <v>43032</v>
      </c>
      <c r="C22" s="27" t="s">
        <v>377</v>
      </c>
      <c r="D22" s="68" t="s">
        <v>454</v>
      </c>
      <c r="E22" s="24"/>
      <c r="F22" s="24" t="s">
        <v>379</v>
      </c>
      <c r="G22" s="28">
        <v>42980</v>
      </c>
      <c r="H22" s="74" t="s">
        <v>175</v>
      </c>
      <c r="I22" s="74" t="s">
        <v>174</v>
      </c>
      <c r="J22" s="74"/>
      <c r="K22" s="68" t="s">
        <v>733</v>
      </c>
      <c r="L22" s="68" t="s">
        <v>734</v>
      </c>
      <c r="M22" s="320">
        <v>80</v>
      </c>
      <c r="N22" s="320">
        <v>29.299999999999994</v>
      </c>
      <c r="O22" s="24"/>
      <c r="P22" s="25"/>
      <c r="Q22" s="81"/>
      <c r="R22" s="25"/>
      <c r="S22" s="81"/>
      <c r="T22" s="25"/>
      <c r="U22" s="24"/>
      <c r="V22" s="81"/>
      <c r="W22" s="81"/>
      <c r="X22" s="25"/>
      <c r="Y22" s="24"/>
      <c r="Z22" s="25"/>
      <c r="AA22" s="24"/>
      <c r="AB22" s="25"/>
      <c r="AC22" s="24"/>
      <c r="AD22" s="24"/>
      <c r="AE22" s="81"/>
      <c r="AF22" s="81"/>
      <c r="AG22" s="25"/>
      <c r="AH22" s="24"/>
      <c r="AI22" s="81"/>
      <c r="AJ22" s="24"/>
      <c r="AK22" s="24"/>
      <c r="AL22" s="24"/>
      <c r="AM22" s="24"/>
      <c r="AN22" s="81"/>
      <c r="AO22" s="24"/>
      <c r="AP22" s="81"/>
      <c r="AQ22" s="24" t="s">
        <v>381</v>
      </c>
      <c r="AR22" s="29" t="s">
        <v>174</v>
      </c>
      <c r="AS22" s="29"/>
      <c r="AT22" s="29"/>
      <c r="AU22" s="29" t="s">
        <v>382</v>
      </c>
      <c r="AV22" s="29">
        <v>8</v>
      </c>
      <c r="AW22" s="29"/>
      <c r="AX22" s="29"/>
      <c r="AY22" s="29"/>
      <c r="AZ22" s="74" t="s">
        <v>174</v>
      </c>
      <c r="BA22" s="24"/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74" t="s">
        <v>174</v>
      </c>
      <c r="BN22" s="29"/>
      <c r="BO22" s="74" t="s">
        <v>174</v>
      </c>
      <c r="BP22" s="319"/>
      <c r="BQ22" s="29"/>
      <c r="BR22" s="29"/>
      <c r="BS22" s="24"/>
      <c r="BT22" s="24"/>
      <c r="BU22" s="29"/>
      <c r="BV22" s="74" t="s">
        <v>174</v>
      </c>
      <c r="BW22" s="24">
        <v>1</v>
      </c>
      <c r="BX22" s="308"/>
      <c r="BY22" s="269" t="s">
        <v>735</v>
      </c>
    </row>
    <row r="23" spans="1:77" x14ac:dyDescent="0.15">
      <c r="A23" s="33">
        <v>4250</v>
      </c>
      <c r="B23" s="26">
        <v>43032</v>
      </c>
      <c r="C23" s="27" t="s">
        <v>377</v>
      </c>
      <c r="D23" s="68" t="s">
        <v>454</v>
      </c>
      <c r="E23" s="24"/>
      <c r="F23" s="24" t="s">
        <v>403</v>
      </c>
      <c r="G23" s="28">
        <v>43026</v>
      </c>
      <c r="H23" s="29" t="s">
        <v>175</v>
      </c>
      <c r="I23" s="29" t="s">
        <v>174</v>
      </c>
      <c r="J23" s="29"/>
      <c r="K23" s="24" t="s">
        <v>296</v>
      </c>
      <c r="L23" s="68" t="s">
        <v>741</v>
      </c>
      <c r="M23" s="320">
        <v>93.936363636363623</v>
      </c>
      <c r="N23" s="320">
        <v>31.872727272727271</v>
      </c>
      <c r="O23" s="24"/>
      <c r="P23" s="25"/>
      <c r="Q23" s="318"/>
      <c r="R23" s="25"/>
      <c r="S23" s="81"/>
      <c r="T23" s="25"/>
      <c r="U23" s="24"/>
      <c r="V23" s="81"/>
      <c r="W23" s="81"/>
      <c r="X23" s="24"/>
      <c r="Y23" s="24"/>
      <c r="Z23" s="24"/>
      <c r="AA23" s="24"/>
      <c r="AB23" s="25"/>
      <c r="AC23" s="24"/>
      <c r="AD23" s="24"/>
      <c r="AE23" s="81"/>
      <c r="AF23" s="320">
        <v>13.618181818181817</v>
      </c>
      <c r="AG23" s="25"/>
      <c r="AH23" s="24"/>
      <c r="AI23" s="81"/>
      <c r="AJ23" s="24"/>
      <c r="AK23" s="24"/>
      <c r="AL23" s="24"/>
      <c r="AM23" s="24"/>
      <c r="AN23" s="81"/>
      <c r="AO23" s="24"/>
      <c r="AP23" s="81"/>
      <c r="AQ23" s="24" t="s">
        <v>404</v>
      </c>
      <c r="AR23" s="29" t="s">
        <v>174</v>
      </c>
      <c r="AS23" s="29"/>
      <c r="AT23" s="29"/>
      <c r="AU23" s="29" t="s">
        <v>382</v>
      </c>
      <c r="AV23" s="29">
        <v>5</v>
      </c>
      <c r="AW23" s="29"/>
      <c r="AX23" s="29"/>
      <c r="AY23" s="29"/>
      <c r="AZ23" s="29" t="s">
        <v>361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/>
      <c r="BO23" s="29" t="s">
        <v>174</v>
      </c>
      <c r="BP23" s="319"/>
      <c r="BQ23" s="29"/>
      <c r="BR23" s="29"/>
      <c r="BS23" s="30"/>
      <c r="BT23" s="30"/>
      <c r="BU23" s="29"/>
      <c r="BV23" s="29" t="s">
        <v>174</v>
      </c>
      <c r="BW23" s="24"/>
      <c r="BX23" s="66"/>
      <c r="BY23" s="67" t="s">
        <v>742</v>
      </c>
    </row>
    <row r="24" spans="1:77" x14ac:dyDescent="0.15">
      <c r="A24" s="33">
        <v>5549</v>
      </c>
      <c r="B24" s="26">
        <v>43032</v>
      </c>
      <c r="C24" s="27" t="s">
        <v>377</v>
      </c>
      <c r="D24" s="68" t="s">
        <v>454</v>
      </c>
      <c r="E24" s="24"/>
      <c r="F24" s="24" t="s">
        <v>403</v>
      </c>
      <c r="G24" s="31">
        <v>43028</v>
      </c>
      <c r="H24" s="29" t="s">
        <v>175</v>
      </c>
      <c r="I24" s="29" t="s">
        <v>174</v>
      </c>
      <c r="J24" s="29"/>
      <c r="K24" s="24" t="s">
        <v>297</v>
      </c>
      <c r="L24" s="68" t="s">
        <v>727</v>
      </c>
      <c r="M24" s="320">
        <v>85.963636363636354</v>
      </c>
      <c r="N24" s="320">
        <v>27.136363636363637</v>
      </c>
      <c r="O24" s="24"/>
      <c r="P24" s="25"/>
      <c r="Q24" s="318"/>
      <c r="R24" s="25"/>
      <c r="S24" s="81"/>
      <c r="T24" s="25"/>
      <c r="U24" s="24"/>
      <c r="V24" s="81"/>
      <c r="W24" s="81"/>
      <c r="X24" s="24"/>
      <c r="Y24" s="24"/>
      <c r="Z24" s="24"/>
      <c r="AA24" s="24"/>
      <c r="AB24" s="24"/>
      <c r="AC24" s="24"/>
      <c r="AD24" s="24"/>
      <c r="AE24" s="81"/>
      <c r="AF24" s="320">
        <v>15.509090909090906</v>
      </c>
      <c r="AG24" s="25"/>
      <c r="AH24" s="24"/>
      <c r="AI24" s="81"/>
      <c r="AJ24" s="24"/>
      <c r="AK24" s="24"/>
      <c r="AL24" s="24"/>
      <c r="AM24" s="24"/>
      <c r="AN24" s="81"/>
      <c r="AO24" s="24"/>
      <c r="AP24" s="81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9.5</v>
      </c>
      <c r="AW24" s="29"/>
      <c r="AX24" s="29"/>
      <c r="AY24" s="29"/>
      <c r="AZ24" s="29" t="s">
        <v>174</v>
      </c>
      <c r="BA24" s="24"/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319"/>
      <c r="BQ24" s="29"/>
      <c r="BR24" s="29"/>
      <c r="BS24" s="24"/>
      <c r="BT24" s="24"/>
      <c r="BU24" s="29"/>
      <c r="BV24" s="29" t="s">
        <v>174</v>
      </c>
      <c r="BW24" s="68">
        <v>1</v>
      </c>
      <c r="BX24" s="66"/>
      <c r="BY24" s="67" t="s">
        <v>728</v>
      </c>
    </row>
    <row r="25" spans="1:77" x14ac:dyDescent="0.15">
      <c r="A25" s="33">
        <v>5770</v>
      </c>
      <c r="B25" s="26">
        <v>43032</v>
      </c>
      <c r="C25" s="27" t="s">
        <v>377</v>
      </c>
      <c r="D25" s="68" t="s">
        <v>454</v>
      </c>
      <c r="E25" s="24"/>
      <c r="F25" s="24" t="s">
        <v>403</v>
      </c>
      <c r="G25" s="28">
        <v>42948</v>
      </c>
      <c r="H25" s="29" t="s">
        <v>175</v>
      </c>
      <c r="I25" s="29" t="s">
        <v>174</v>
      </c>
      <c r="J25" s="29"/>
      <c r="K25" s="24" t="s">
        <v>300</v>
      </c>
      <c r="L25" s="24" t="s">
        <v>517</v>
      </c>
      <c r="M25" s="320">
        <v>95.499999999999986</v>
      </c>
      <c r="N25" s="320">
        <v>30.154545454545453</v>
      </c>
      <c r="O25" s="24" t="s">
        <v>518</v>
      </c>
      <c r="P25" s="25">
        <v>1000</v>
      </c>
      <c r="Q25" s="320">
        <v>36.75454545454545</v>
      </c>
      <c r="R25" s="25"/>
      <c r="S25" s="81"/>
      <c r="T25" s="25"/>
      <c r="U25" s="24"/>
      <c r="V25" s="81"/>
      <c r="W25" s="81"/>
      <c r="X25" s="24"/>
      <c r="Y25" s="24"/>
      <c r="Z25" s="24"/>
      <c r="AA25" s="24"/>
      <c r="AB25" s="24"/>
      <c r="AC25" s="24"/>
      <c r="AD25" s="24"/>
      <c r="AE25" s="81"/>
      <c r="AF25" s="320">
        <v>17.236363636363635</v>
      </c>
      <c r="AG25" s="25"/>
      <c r="AH25" s="24"/>
      <c r="AI25" s="81"/>
      <c r="AJ25" s="24"/>
      <c r="AK25" s="24"/>
      <c r="AL25" s="24"/>
      <c r="AM25" s="24"/>
      <c r="AN25" s="81"/>
      <c r="AO25" s="24"/>
      <c r="AP25" s="81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7</v>
      </c>
      <c r="AW25" s="29"/>
      <c r="AX25" s="29"/>
      <c r="AY25" s="29"/>
      <c r="AZ25" s="29" t="s">
        <v>361</v>
      </c>
      <c r="BA25" s="24"/>
      <c r="BB25" s="29">
        <v>0</v>
      </c>
      <c r="BC25" s="29">
        <v>0</v>
      </c>
      <c r="BD25" s="29">
        <v>7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/>
      <c r="BO25" s="29" t="s">
        <v>174</v>
      </c>
      <c r="BP25" s="319"/>
      <c r="BQ25" s="29"/>
      <c r="BR25" s="29"/>
      <c r="BS25" s="24"/>
      <c r="BT25" s="24"/>
      <c r="BU25" s="29"/>
      <c r="BV25" s="29" t="s">
        <v>174</v>
      </c>
      <c r="BW25" s="24"/>
      <c r="BY25" s="32" t="s">
        <v>745</v>
      </c>
    </row>
    <row r="26" spans="1:77" x14ac:dyDescent="0.15">
      <c r="A26" s="33">
        <v>5268</v>
      </c>
      <c r="B26" s="26">
        <v>43032</v>
      </c>
      <c r="C26" s="27" t="s">
        <v>377</v>
      </c>
      <c r="D26" s="68" t="s">
        <v>454</v>
      </c>
      <c r="E26" s="24"/>
      <c r="F26" s="24" t="s">
        <v>403</v>
      </c>
      <c r="G26" s="28">
        <v>43008</v>
      </c>
      <c r="H26" s="29" t="s">
        <v>175</v>
      </c>
      <c r="I26" s="29" t="s">
        <v>174</v>
      </c>
      <c r="J26" s="29"/>
      <c r="K26" s="24" t="s">
        <v>301</v>
      </c>
      <c r="L26" s="24" t="s">
        <v>520</v>
      </c>
      <c r="M26" s="320">
        <v>98.499999999999986</v>
      </c>
      <c r="N26" s="320">
        <v>34.718181818181812</v>
      </c>
      <c r="O26" s="24"/>
      <c r="P26" s="25"/>
      <c r="Q26" s="81"/>
      <c r="R26" s="25"/>
      <c r="S26" s="81"/>
      <c r="T26" s="25"/>
      <c r="U26" s="24"/>
      <c r="V26" s="81"/>
      <c r="W26" s="81"/>
      <c r="X26" s="25"/>
      <c r="Y26" s="24"/>
      <c r="Z26" s="25"/>
      <c r="AA26" s="24"/>
      <c r="AB26" s="25"/>
      <c r="AC26" s="24"/>
      <c r="AD26" s="24"/>
      <c r="AE26" s="81"/>
      <c r="AF26" s="320">
        <v>14.718181818181819</v>
      </c>
      <c r="AG26" s="25"/>
      <c r="AH26" s="24"/>
      <c r="AI26" s="81"/>
      <c r="AJ26" s="24"/>
      <c r="AK26" s="24"/>
      <c r="AL26" s="24"/>
      <c r="AM26" s="24"/>
      <c r="AN26" s="81"/>
      <c r="AO26" s="24"/>
      <c r="AP26" s="81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9.35</v>
      </c>
      <c r="AW26" s="29"/>
      <c r="AX26" s="29"/>
      <c r="AY26" s="29"/>
      <c r="AZ26" s="29" t="s">
        <v>361</v>
      </c>
      <c r="BA26" s="24"/>
      <c r="BB26" s="29">
        <v>3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>
        <v>12</v>
      </c>
      <c r="BO26" s="29" t="s">
        <v>174</v>
      </c>
      <c r="BP26" s="319"/>
      <c r="BQ26" s="29">
        <v>12</v>
      </c>
      <c r="BR26" s="29"/>
      <c r="BS26" s="24"/>
      <c r="BT26" s="24"/>
      <c r="BU26" s="29"/>
      <c r="BV26" s="29" t="s">
        <v>174</v>
      </c>
      <c r="BW26" s="24">
        <v>1</v>
      </c>
      <c r="BX26" s="66"/>
      <c r="BY26" s="67" t="s">
        <v>744</v>
      </c>
    </row>
    <row r="27" spans="1:77" x14ac:dyDescent="0.15">
      <c r="A27" s="33">
        <v>4783</v>
      </c>
      <c r="B27" s="26">
        <v>43032</v>
      </c>
      <c r="C27" s="27" t="s">
        <v>377</v>
      </c>
      <c r="D27" s="68" t="s">
        <v>454</v>
      </c>
      <c r="E27" s="24"/>
      <c r="F27" s="24" t="s">
        <v>403</v>
      </c>
      <c r="G27" s="28">
        <v>42964</v>
      </c>
      <c r="H27" s="29" t="s">
        <v>175</v>
      </c>
      <c r="I27" s="29" t="s">
        <v>174</v>
      </c>
      <c r="J27" s="29"/>
      <c r="K27" s="24" t="s">
        <v>302</v>
      </c>
      <c r="L27" s="24" t="s">
        <v>521</v>
      </c>
      <c r="M27" s="320">
        <v>86.018181818181816</v>
      </c>
      <c r="N27" s="320">
        <v>29.554545454545451</v>
      </c>
      <c r="O27" s="24"/>
      <c r="P27" s="25"/>
      <c r="Q27" s="81"/>
      <c r="R27" s="25"/>
      <c r="S27" s="81"/>
      <c r="T27" s="25"/>
      <c r="U27" s="24"/>
      <c r="V27" s="81"/>
      <c r="W27" s="81"/>
      <c r="X27" s="24"/>
      <c r="Y27" s="24"/>
      <c r="Z27" s="24"/>
      <c r="AA27" s="24"/>
      <c r="AB27" s="24"/>
      <c r="AC27" s="24"/>
      <c r="AD27" s="24"/>
      <c r="AE27" s="81"/>
      <c r="AF27" s="320">
        <v>13.890909090909089</v>
      </c>
      <c r="AG27" s="25"/>
      <c r="AH27" s="24"/>
      <c r="AI27" s="81"/>
      <c r="AJ27" s="24"/>
      <c r="AK27" s="24"/>
      <c r="AL27" s="24"/>
      <c r="AM27" s="24"/>
      <c r="AN27" s="81"/>
      <c r="AO27" s="24"/>
      <c r="AP27" s="81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3</v>
      </c>
      <c r="AW27" s="29"/>
      <c r="AX27" s="29"/>
      <c r="AY27" s="29"/>
      <c r="AZ27" s="29" t="s">
        <v>361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319"/>
      <c r="BQ27" s="29"/>
      <c r="BR27" s="29"/>
      <c r="BS27" s="24"/>
      <c r="BT27" s="24"/>
      <c r="BU27" s="29"/>
      <c r="BV27" s="29" t="s">
        <v>174</v>
      </c>
      <c r="BW27" s="24"/>
      <c r="BX27" s="66"/>
      <c r="BY27" s="67" t="s">
        <v>746</v>
      </c>
    </row>
    <row r="28" spans="1:77" x14ac:dyDescent="0.15">
      <c r="A28" s="33">
        <v>931</v>
      </c>
      <c r="B28" s="26">
        <v>43032</v>
      </c>
      <c r="C28" s="27" t="s">
        <v>377</v>
      </c>
      <c r="D28" s="68" t="s">
        <v>454</v>
      </c>
      <c r="E28" s="24"/>
      <c r="F28" s="24" t="s">
        <v>403</v>
      </c>
      <c r="G28" s="28">
        <v>43008</v>
      </c>
      <c r="H28" s="29" t="s">
        <v>175</v>
      </c>
      <c r="I28" s="29" t="s">
        <v>174</v>
      </c>
      <c r="J28" s="29"/>
      <c r="K28" s="24" t="s">
        <v>303</v>
      </c>
      <c r="L28" s="24" t="s">
        <v>522</v>
      </c>
      <c r="M28" s="320">
        <v>89.890909090909076</v>
      </c>
      <c r="N28" s="320">
        <v>36.236363636363635</v>
      </c>
      <c r="O28" s="24"/>
      <c r="P28" s="25"/>
      <c r="Q28" s="81"/>
      <c r="R28" s="25"/>
      <c r="S28" s="81"/>
      <c r="T28" s="24"/>
      <c r="U28" s="24"/>
      <c r="V28" s="81"/>
      <c r="W28" s="81"/>
      <c r="X28" s="24"/>
      <c r="Y28" s="24"/>
      <c r="Z28" s="24"/>
      <c r="AA28" s="24"/>
      <c r="AB28" s="24"/>
      <c r="AC28" s="24"/>
      <c r="AD28" s="24"/>
      <c r="AE28" s="81"/>
      <c r="AF28" s="320">
        <v>21.309090909090909</v>
      </c>
      <c r="AG28" s="25"/>
      <c r="AH28" s="24"/>
      <c r="AI28" s="81"/>
      <c r="AJ28" s="24"/>
      <c r="AK28" s="24"/>
      <c r="AL28" s="24"/>
      <c r="AM28" s="24"/>
      <c r="AN28" s="81"/>
      <c r="AO28" s="24"/>
      <c r="AP28" s="81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6.8</v>
      </c>
      <c r="AW28" s="29"/>
      <c r="AX28" s="29"/>
      <c r="AY28" s="29"/>
      <c r="AZ28" s="29" t="s">
        <v>361</v>
      </c>
      <c r="BA28" s="24"/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174</v>
      </c>
      <c r="BN28" s="29"/>
      <c r="BO28" s="29" t="s">
        <v>174</v>
      </c>
      <c r="BP28" s="319"/>
      <c r="BQ28" s="29"/>
      <c r="BR28" s="29"/>
      <c r="BS28" s="24"/>
      <c r="BT28" s="24"/>
      <c r="BU28" s="29"/>
      <c r="BV28" s="29" t="s">
        <v>174</v>
      </c>
      <c r="BW28" s="24"/>
      <c r="BY28" s="32" t="s">
        <v>740</v>
      </c>
    </row>
    <row r="29" spans="1:77" x14ac:dyDescent="0.15">
      <c r="A29" s="33">
        <v>5408</v>
      </c>
      <c r="B29" s="26">
        <v>43032</v>
      </c>
      <c r="C29" s="27" t="s">
        <v>377</v>
      </c>
      <c r="D29" s="68" t="s">
        <v>454</v>
      </c>
      <c r="E29" s="24"/>
      <c r="F29" s="24" t="s">
        <v>403</v>
      </c>
      <c r="G29" s="28">
        <v>42916</v>
      </c>
      <c r="H29" s="29" t="s">
        <v>175</v>
      </c>
      <c r="I29" s="29" t="s">
        <v>174</v>
      </c>
      <c r="J29" s="29"/>
      <c r="K29" s="24" t="s">
        <v>304</v>
      </c>
      <c r="L29" s="68" t="s">
        <v>731</v>
      </c>
      <c r="M29" s="320">
        <v>73.336363636363629</v>
      </c>
      <c r="N29" s="320">
        <v>29.336363636363636</v>
      </c>
      <c r="O29" s="24"/>
      <c r="P29" s="25"/>
      <c r="Q29" s="81"/>
      <c r="R29" s="25"/>
      <c r="S29" s="81"/>
      <c r="T29" s="25"/>
      <c r="U29" s="24"/>
      <c r="V29" s="81"/>
      <c r="W29" s="81"/>
      <c r="X29" s="24"/>
      <c r="Y29" s="24"/>
      <c r="Z29" s="25"/>
      <c r="AA29" s="24"/>
      <c r="AB29" s="25"/>
      <c r="AC29" s="24"/>
      <c r="AD29" s="24"/>
      <c r="AE29" s="81"/>
      <c r="AF29" s="320">
        <v>12.154545454545453</v>
      </c>
      <c r="AG29" s="25"/>
      <c r="AH29" s="24"/>
      <c r="AI29" s="81"/>
      <c r="AJ29" s="24"/>
      <c r="AK29" s="24"/>
      <c r="AL29" s="24"/>
      <c r="AM29" s="24"/>
      <c r="AN29" s="81"/>
      <c r="AO29" s="24"/>
      <c r="AP29" s="81"/>
      <c r="AQ29" s="24" t="s">
        <v>404</v>
      </c>
      <c r="AR29" s="29" t="s">
        <v>174</v>
      </c>
      <c r="AS29" s="29"/>
      <c r="AT29" s="29"/>
      <c r="AU29" s="29" t="s">
        <v>382</v>
      </c>
      <c r="AV29" s="29">
        <v>6</v>
      </c>
      <c r="AW29" s="29"/>
      <c r="AX29" s="29"/>
      <c r="AY29" s="29"/>
      <c r="AZ29" s="29" t="s">
        <v>361</v>
      </c>
      <c r="BA29" s="24"/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>
        <v>12</v>
      </c>
      <c r="BO29" s="29" t="s">
        <v>174</v>
      </c>
      <c r="BP29" s="319"/>
      <c r="BQ29" s="29">
        <v>12</v>
      </c>
      <c r="BR29" s="29"/>
      <c r="BS29" s="24"/>
      <c r="BT29" s="24"/>
      <c r="BU29" s="29"/>
      <c r="BV29" s="29" t="s">
        <v>174</v>
      </c>
      <c r="BW29" s="24"/>
      <c r="BX29" s="66"/>
      <c r="BY29" s="67" t="s">
        <v>732</v>
      </c>
    </row>
    <row r="30" spans="1:77" x14ac:dyDescent="0.15">
      <c r="A30" s="33"/>
      <c r="B30" s="26">
        <v>43032</v>
      </c>
      <c r="C30" s="27" t="s">
        <v>377</v>
      </c>
      <c r="D30" s="68" t="s">
        <v>454</v>
      </c>
      <c r="E30" s="24"/>
      <c r="F30" s="24" t="s">
        <v>403</v>
      </c>
      <c r="G30" s="28">
        <v>43026</v>
      </c>
      <c r="H30" s="29" t="s">
        <v>175</v>
      </c>
      <c r="I30" s="29" t="s">
        <v>174</v>
      </c>
      <c r="J30" s="29"/>
      <c r="K30" s="24" t="s">
        <v>305</v>
      </c>
      <c r="L30" s="24" t="s">
        <v>631</v>
      </c>
      <c r="M30" s="320">
        <v>88.827272727272714</v>
      </c>
      <c r="N30" s="320">
        <v>30.136363636363633</v>
      </c>
      <c r="O30" s="24"/>
      <c r="P30" s="25"/>
      <c r="Q30" s="81"/>
      <c r="R30" s="25"/>
      <c r="S30" s="81"/>
      <c r="T30" s="25"/>
      <c r="U30" s="24"/>
      <c r="V30" s="81"/>
      <c r="W30" s="81"/>
      <c r="X30" s="24"/>
      <c r="Y30" s="24"/>
      <c r="Z30" s="25"/>
      <c r="AA30" s="24"/>
      <c r="AB30" s="25"/>
      <c r="AC30" s="24"/>
      <c r="AD30" s="24"/>
      <c r="AE30" s="81"/>
      <c r="AF30" s="320">
        <v>12.881818181818181</v>
      </c>
      <c r="AG30" s="25"/>
      <c r="AH30" s="24"/>
      <c r="AI30" s="81"/>
      <c r="AJ30" s="24"/>
      <c r="AK30" s="24"/>
      <c r="AL30" s="24"/>
      <c r="AM30" s="24"/>
      <c r="AN30" s="81"/>
      <c r="AO30" s="24"/>
      <c r="AP30" s="81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5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>
        <v>12</v>
      </c>
      <c r="BO30" s="29" t="s">
        <v>174</v>
      </c>
      <c r="BP30" s="319"/>
      <c r="BQ30" s="29">
        <v>12</v>
      </c>
      <c r="BR30" s="29"/>
      <c r="BS30" s="24"/>
      <c r="BT30" s="24"/>
      <c r="BU30" s="29"/>
      <c r="BV30" s="29" t="s">
        <v>174</v>
      </c>
      <c r="BW30" s="30"/>
      <c r="BX30" s="66"/>
      <c r="BY30" s="67" t="s">
        <v>739</v>
      </c>
    </row>
    <row r="31" spans="1:77" x14ac:dyDescent="0.15">
      <c r="A31" s="33">
        <v>5942</v>
      </c>
      <c r="B31" s="26">
        <v>43032</v>
      </c>
      <c r="C31" s="27" t="s">
        <v>377</v>
      </c>
      <c r="D31" s="68" t="s">
        <v>454</v>
      </c>
      <c r="E31" s="24"/>
      <c r="F31" s="24" t="s">
        <v>403</v>
      </c>
      <c r="G31" s="28">
        <v>42964</v>
      </c>
      <c r="H31" s="29" t="s">
        <v>175</v>
      </c>
      <c r="I31" s="29" t="s">
        <v>174</v>
      </c>
      <c r="J31" s="29"/>
      <c r="K31" s="24" t="s">
        <v>306</v>
      </c>
      <c r="L31" s="24" t="s">
        <v>525</v>
      </c>
      <c r="M31" s="320">
        <v>86.018181818181816</v>
      </c>
      <c r="N31" s="320">
        <v>29.554545454545451</v>
      </c>
      <c r="O31" s="24"/>
      <c r="P31" s="25"/>
      <c r="Q31" s="81"/>
      <c r="R31" s="25"/>
      <c r="S31" s="81"/>
      <c r="T31" s="24"/>
      <c r="U31" s="24"/>
      <c r="V31" s="81"/>
      <c r="W31" s="81"/>
      <c r="X31" s="24"/>
      <c r="Y31" s="24"/>
      <c r="Z31" s="24"/>
      <c r="AA31" s="24"/>
      <c r="AB31" s="24"/>
      <c r="AC31" s="24"/>
      <c r="AD31" s="24"/>
      <c r="AE31" s="81"/>
      <c r="AF31" s="320">
        <v>13.890909090909089</v>
      </c>
      <c r="AG31" s="25"/>
      <c r="AH31" s="24"/>
      <c r="AI31" s="81"/>
      <c r="AJ31" s="24"/>
      <c r="AK31" s="24"/>
      <c r="AL31" s="24"/>
      <c r="AM31" s="24"/>
      <c r="AN31" s="81"/>
      <c r="AO31" s="24"/>
      <c r="AP31" s="81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3</v>
      </c>
      <c r="AW31" s="29"/>
      <c r="AX31" s="29"/>
      <c r="AY31" s="29"/>
      <c r="AZ31" s="29" t="s">
        <v>361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/>
      <c r="BO31" s="29" t="s">
        <v>174</v>
      </c>
      <c r="BP31" s="319"/>
      <c r="BQ31" s="29"/>
      <c r="BR31" s="283"/>
      <c r="BS31" s="30"/>
      <c r="BT31" s="30"/>
      <c r="BU31" s="29"/>
      <c r="BV31" s="29" t="s">
        <v>174</v>
      </c>
      <c r="BW31" s="24"/>
      <c r="BY31" s="32" t="s">
        <v>736</v>
      </c>
    </row>
    <row r="32" spans="1:77" x14ac:dyDescent="0.15">
      <c r="A32" s="33"/>
      <c r="B32" s="26">
        <v>43032</v>
      </c>
      <c r="C32" s="27" t="s">
        <v>377</v>
      </c>
      <c r="D32" s="68" t="s">
        <v>454</v>
      </c>
      <c r="E32" s="24"/>
      <c r="F32" s="24" t="s">
        <v>403</v>
      </c>
      <c r="G32" s="28">
        <v>42930</v>
      </c>
      <c r="H32" s="29" t="s">
        <v>175</v>
      </c>
      <c r="I32" s="29" t="s">
        <v>174</v>
      </c>
      <c r="J32" s="29"/>
      <c r="K32" s="24" t="s">
        <v>307</v>
      </c>
      <c r="L32" s="24" t="s">
        <v>327</v>
      </c>
      <c r="M32" s="320">
        <v>96.899999999999991</v>
      </c>
      <c r="N32" s="320">
        <v>34.509090909090908</v>
      </c>
      <c r="O32" s="68" t="s">
        <v>518</v>
      </c>
      <c r="P32" s="25">
        <v>3822</v>
      </c>
      <c r="Q32" s="320">
        <v>35.509090909090908</v>
      </c>
      <c r="R32" s="25"/>
      <c r="S32" s="81"/>
      <c r="T32" s="25"/>
      <c r="U32" s="24"/>
      <c r="V32" s="81"/>
      <c r="W32" s="81"/>
      <c r="X32" s="24"/>
      <c r="Y32" s="24"/>
      <c r="Z32" s="24"/>
      <c r="AA32" s="24"/>
      <c r="AB32" s="24"/>
      <c r="AC32" s="24"/>
      <c r="AD32" s="24"/>
      <c r="AE32" s="81"/>
      <c r="AF32" s="320">
        <v>14.59090909090909</v>
      </c>
      <c r="AG32" s="24"/>
      <c r="AH32" s="24"/>
      <c r="AI32" s="81"/>
      <c r="AJ32" s="24"/>
      <c r="AK32" s="24"/>
      <c r="AL32" s="24"/>
      <c r="AM32" s="24"/>
      <c r="AN32" s="81"/>
      <c r="AO32" s="24"/>
      <c r="AP32" s="81"/>
      <c r="AQ32" s="24" t="s">
        <v>404</v>
      </c>
      <c r="AR32" s="29" t="s">
        <v>174</v>
      </c>
      <c r="AS32" s="29"/>
      <c r="AT32" s="29"/>
      <c r="AU32" s="29" t="s">
        <v>382</v>
      </c>
      <c r="AV32" s="29">
        <v>4.5</v>
      </c>
      <c r="AW32" s="29"/>
      <c r="AX32" s="29"/>
      <c r="AY32" s="29"/>
      <c r="AZ32" s="29" t="s">
        <v>174</v>
      </c>
      <c r="BA32" s="24"/>
      <c r="BB32" s="29">
        <v>18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/>
      <c r="BO32" s="29" t="s">
        <v>174</v>
      </c>
      <c r="BP32" s="319"/>
      <c r="BQ32" s="29"/>
      <c r="BR32" s="29"/>
      <c r="BS32" s="24"/>
      <c r="BT32" s="24"/>
      <c r="BU32" s="29"/>
      <c r="BV32" s="29" t="s">
        <v>174</v>
      </c>
      <c r="BW32" s="24"/>
      <c r="BY32" s="67" t="s">
        <v>730</v>
      </c>
    </row>
    <row r="33" spans="1:77" x14ac:dyDescent="0.15">
      <c r="A33" s="33">
        <v>5633</v>
      </c>
      <c r="B33" s="26">
        <v>43032</v>
      </c>
      <c r="C33" s="27" t="s">
        <v>377</v>
      </c>
      <c r="D33" s="68" t="s">
        <v>454</v>
      </c>
      <c r="E33" s="24"/>
      <c r="F33" s="24" t="s">
        <v>403</v>
      </c>
      <c r="G33" s="31">
        <v>43008</v>
      </c>
      <c r="H33" s="74" t="s">
        <v>175</v>
      </c>
      <c r="I33" s="74" t="s">
        <v>174</v>
      </c>
      <c r="J33" s="29"/>
      <c r="K33" s="24" t="s">
        <v>495</v>
      </c>
      <c r="L33" s="68" t="s">
        <v>737</v>
      </c>
      <c r="M33" s="320">
        <v>112.69999999999999</v>
      </c>
      <c r="N33" s="320">
        <v>29.299999999999994</v>
      </c>
      <c r="O33" s="24"/>
      <c r="P33" s="25"/>
      <c r="Q33" s="81"/>
      <c r="R33" s="25"/>
      <c r="S33" s="81"/>
      <c r="T33" s="24"/>
      <c r="U33" s="24"/>
      <c r="V33" s="81"/>
      <c r="W33" s="81"/>
      <c r="X33" s="24"/>
      <c r="Y33" s="24"/>
      <c r="Z33" s="24"/>
      <c r="AA33" s="24"/>
      <c r="AB33" s="24"/>
      <c r="AC33" s="24"/>
      <c r="AD33" s="24"/>
      <c r="AE33" s="81"/>
      <c r="AF33" s="320">
        <v>15.772727272727273</v>
      </c>
      <c r="AG33" s="25"/>
      <c r="AH33" s="24"/>
      <c r="AI33" s="81"/>
      <c r="AJ33" s="24"/>
      <c r="AK33" s="24"/>
      <c r="AL33" s="24"/>
      <c r="AM33" s="24"/>
      <c r="AN33" s="81"/>
      <c r="AO33" s="24"/>
      <c r="AP33" s="81"/>
      <c r="AQ33" s="24" t="s">
        <v>404</v>
      </c>
      <c r="AR33" s="29" t="s">
        <v>174</v>
      </c>
      <c r="AS33" s="29"/>
      <c r="AT33" s="29"/>
      <c r="AU33" s="74" t="s">
        <v>382</v>
      </c>
      <c r="AV33" s="29">
        <v>3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>
        <v>12</v>
      </c>
      <c r="BO33" s="29" t="s">
        <v>174</v>
      </c>
      <c r="BP33" s="319"/>
      <c r="BQ33" s="29">
        <v>12</v>
      </c>
      <c r="BR33" s="29"/>
      <c r="BS33" s="30"/>
      <c r="BT33" s="30"/>
      <c r="BU33" s="29"/>
      <c r="BV33" s="29" t="s">
        <v>174</v>
      </c>
      <c r="BW33" s="24">
        <v>1</v>
      </c>
      <c r="BY33" s="32" t="s">
        <v>738</v>
      </c>
    </row>
    <row r="34" spans="1:77" x14ac:dyDescent="0.15">
      <c r="A34" s="33">
        <v>6122</v>
      </c>
      <c r="B34" s="26">
        <v>43032</v>
      </c>
      <c r="C34" s="27" t="s">
        <v>377</v>
      </c>
      <c r="D34" s="68" t="s">
        <v>454</v>
      </c>
      <c r="E34" s="24"/>
      <c r="F34" s="24" t="s">
        <v>403</v>
      </c>
      <c r="G34" s="28">
        <v>42949</v>
      </c>
      <c r="H34" s="29" t="s">
        <v>175</v>
      </c>
      <c r="I34" s="29" t="s">
        <v>174</v>
      </c>
      <c r="J34" s="29"/>
      <c r="K34" s="24" t="s">
        <v>594</v>
      </c>
      <c r="L34" s="24" t="s">
        <v>595</v>
      </c>
      <c r="M34" s="320">
        <v>70</v>
      </c>
      <c r="N34" s="320">
        <v>25.909090909090907</v>
      </c>
      <c r="O34" s="24"/>
      <c r="P34" s="25"/>
      <c r="Q34" s="81"/>
      <c r="R34" s="25"/>
      <c r="S34" s="81"/>
      <c r="T34" s="25"/>
      <c r="U34" s="24"/>
      <c r="V34" s="81"/>
      <c r="W34" s="81"/>
      <c r="X34" s="25"/>
      <c r="Y34" s="24"/>
      <c r="Z34" s="25"/>
      <c r="AA34" s="24"/>
      <c r="AB34" s="25"/>
      <c r="AC34" s="24"/>
      <c r="AD34" s="24"/>
      <c r="AE34" s="81"/>
      <c r="AF34" s="320">
        <v>17.727272727272727</v>
      </c>
      <c r="AG34" s="25"/>
      <c r="AH34" s="24"/>
      <c r="AI34" s="81"/>
      <c r="AJ34" s="24"/>
      <c r="AK34" s="24"/>
      <c r="AL34" s="24"/>
      <c r="AM34" s="24"/>
      <c r="AN34" s="81"/>
      <c r="AO34" s="24"/>
      <c r="AP34" s="81"/>
      <c r="AQ34" s="24" t="s">
        <v>404</v>
      </c>
      <c r="AR34" s="29" t="s">
        <v>174</v>
      </c>
      <c r="AS34" s="29"/>
      <c r="AT34" s="29"/>
      <c r="AU34" s="29" t="s">
        <v>382</v>
      </c>
      <c r="AV34" s="29">
        <v>7</v>
      </c>
      <c r="AW34" s="29"/>
      <c r="AX34" s="29"/>
      <c r="AY34" s="29"/>
      <c r="AZ34" s="29" t="s">
        <v>361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321">
        <v>163.58181818181816</v>
      </c>
      <c r="BQ34" s="29"/>
      <c r="BR34" s="283"/>
      <c r="BS34" s="30"/>
      <c r="BT34" s="30"/>
      <c r="BU34" s="29"/>
      <c r="BV34" s="29" t="s">
        <v>174</v>
      </c>
      <c r="BW34" s="24"/>
      <c r="BY34" s="67" t="s">
        <v>726</v>
      </c>
    </row>
    <row r="35" spans="1:77" x14ac:dyDescent="0.15">
      <c r="A35" s="33"/>
      <c r="B35" s="26">
        <v>43032</v>
      </c>
      <c r="C35" s="27" t="s">
        <v>377</v>
      </c>
      <c r="D35" s="68" t="s">
        <v>454</v>
      </c>
      <c r="E35" s="24"/>
      <c r="F35" s="24" t="s">
        <v>403</v>
      </c>
      <c r="G35" s="28">
        <v>42587</v>
      </c>
      <c r="H35" s="29" t="s">
        <v>175</v>
      </c>
      <c r="I35" s="29" t="s">
        <v>174</v>
      </c>
      <c r="J35" s="29"/>
      <c r="K35" s="24" t="s">
        <v>597</v>
      </c>
      <c r="L35" s="24" t="s">
        <v>638</v>
      </c>
      <c r="M35" s="320">
        <v>77.999999999999972</v>
      </c>
      <c r="N35" s="320">
        <v>27.652892561983467</v>
      </c>
      <c r="O35" s="24"/>
      <c r="P35" s="25"/>
      <c r="Q35" s="81"/>
      <c r="R35" s="25"/>
      <c r="S35" s="81"/>
      <c r="T35" s="25"/>
      <c r="U35" s="24"/>
      <c r="V35" s="81"/>
      <c r="W35" s="81"/>
      <c r="X35" s="25"/>
      <c r="Y35" s="24"/>
      <c r="Z35" s="25"/>
      <c r="AA35" s="24"/>
      <c r="AB35" s="25"/>
      <c r="AC35" s="24"/>
      <c r="AD35" s="24"/>
      <c r="AE35" s="81"/>
      <c r="AF35" s="320">
        <v>14.198347107438014</v>
      </c>
      <c r="AG35" s="25"/>
      <c r="AH35" s="24"/>
      <c r="AI35" s="81"/>
      <c r="AJ35" s="24"/>
      <c r="AK35" s="24"/>
      <c r="AL35" s="24"/>
      <c r="AM35" s="24"/>
      <c r="AN35" s="81"/>
      <c r="AO35" s="24"/>
      <c r="AP35" s="81"/>
      <c r="AQ35" s="24" t="s">
        <v>404</v>
      </c>
      <c r="AR35" s="29" t="s">
        <v>174</v>
      </c>
      <c r="AS35" s="29"/>
      <c r="AT35" s="29"/>
      <c r="AU35" s="29" t="s">
        <v>382</v>
      </c>
      <c r="AV35" s="29">
        <v>4</v>
      </c>
      <c r="AW35" s="29"/>
      <c r="AX35" s="29"/>
      <c r="AY35" s="29"/>
      <c r="AZ35" s="29" t="s">
        <v>174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>
        <v>12</v>
      </c>
      <c r="BO35" s="29" t="s">
        <v>174</v>
      </c>
      <c r="BP35" s="319"/>
      <c r="BQ35" s="29"/>
      <c r="BR35" s="29"/>
      <c r="BS35" s="30"/>
      <c r="BT35" s="30"/>
      <c r="BU35" s="29"/>
      <c r="BV35" s="29" t="s">
        <v>174</v>
      </c>
      <c r="BW35" s="24"/>
      <c r="BY35" s="67" t="s">
        <v>650</v>
      </c>
    </row>
    <row r="36" spans="1:77" x14ac:dyDescent="0.15">
      <c r="A36" s="33"/>
      <c r="B36" s="26">
        <v>43032</v>
      </c>
      <c r="C36" s="27" t="s">
        <v>377</v>
      </c>
      <c r="D36" s="68" t="s">
        <v>454</v>
      </c>
      <c r="E36" s="24"/>
      <c r="F36" s="24" t="s">
        <v>403</v>
      </c>
      <c r="G36" s="28">
        <v>42916</v>
      </c>
      <c r="H36" s="74" t="s">
        <v>175</v>
      </c>
      <c r="I36" s="74" t="s">
        <v>174</v>
      </c>
      <c r="J36" s="29"/>
      <c r="K36" s="68" t="s">
        <v>676</v>
      </c>
      <c r="L36" s="68" t="s">
        <v>677</v>
      </c>
      <c r="M36" s="320">
        <v>70.999999999999986</v>
      </c>
      <c r="N36" s="320">
        <v>35.199999999999996</v>
      </c>
      <c r="O36" s="24"/>
      <c r="P36" s="25"/>
      <c r="Q36" s="81"/>
      <c r="R36" s="25"/>
      <c r="S36" s="81"/>
      <c r="T36" s="25"/>
      <c r="U36" s="24"/>
      <c r="V36" s="81"/>
      <c r="W36" s="81"/>
      <c r="X36" s="25"/>
      <c r="Y36" s="24"/>
      <c r="Z36" s="25"/>
      <c r="AA36" s="24"/>
      <c r="AB36" s="25"/>
      <c r="AC36" s="24"/>
      <c r="AD36" s="24"/>
      <c r="AE36" s="81"/>
      <c r="AF36" s="320">
        <v>16</v>
      </c>
      <c r="AG36" s="25"/>
      <c r="AH36" s="24"/>
      <c r="AI36" s="81"/>
      <c r="AJ36" s="24"/>
      <c r="AK36" s="24"/>
      <c r="AL36" s="24"/>
      <c r="AM36" s="24"/>
      <c r="AN36" s="81"/>
      <c r="AO36" s="24"/>
      <c r="AP36" s="81"/>
      <c r="AQ36" s="24" t="s">
        <v>404</v>
      </c>
      <c r="AR36" s="29" t="s">
        <v>174</v>
      </c>
      <c r="AS36" s="29"/>
      <c r="AT36" s="29"/>
      <c r="AU36" s="29" t="s">
        <v>382</v>
      </c>
      <c r="AV36" s="29">
        <v>6</v>
      </c>
      <c r="AW36" s="29"/>
      <c r="AX36" s="29"/>
      <c r="AY36" s="29"/>
      <c r="AZ36" s="74" t="s">
        <v>361</v>
      </c>
      <c r="BA36" s="24"/>
      <c r="BB36" s="29">
        <v>0</v>
      </c>
      <c r="BC36" s="29">
        <v>15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74" t="s">
        <v>174</v>
      </c>
      <c r="BN36" s="29"/>
      <c r="BO36" s="74" t="s">
        <v>174</v>
      </c>
      <c r="BP36" s="319"/>
      <c r="BQ36" s="29"/>
      <c r="BR36" s="29"/>
      <c r="BS36" s="24"/>
      <c r="BT36" s="24"/>
      <c r="BU36" s="29"/>
      <c r="BV36" s="74" t="s">
        <v>174</v>
      </c>
      <c r="BW36" s="24"/>
      <c r="BX36" s="266" t="s">
        <v>679</v>
      </c>
      <c r="BY36" s="269" t="s">
        <v>747</v>
      </c>
    </row>
    <row r="37" spans="1:77" x14ac:dyDescent="0.15">
      <c r="A37" s="33"/>
      <c r="B37" s="26">
        <v>43032</v>
      </c>
      <c r="C37" s="27" t="s">
        <v>377</v>
      </c>
      <c r="D37" s="68" t="s">
        <v>454</v>
      </c>
      <c r="E37" s="24"/>
      <c r="F37" s="24" t="s">
        <v>403</v>
      </c>
      <c r="G37" s="28">
        <v>42966</v>
      </c>
      <c r="H37" s="74" t="s">
        <v>175</v>
      </c>
      <c r="I37" s="74" t="s">
        <v>174</v>
      </c>
      <c r="J37" s="74"/>
      <c r="K37" s="68" t="s">
        <v>691</v>
      </c>
      <c r="L37" s="68" t="s">
        <v>692</v>
      </c>
      <c r="M37" s="320">
        <v>73.099999999999994</v>
      </c>
      <c r="N37" s="320">
        <v>27.554545454545451</v>
      </c>
      <c r="O37" s="24"/>
      <c r="P37" s="25"/>
      <c r="Q37" s="81"/>
      <c r="R37" s="25"/>
      <c r="S37" s="81"/>
      <c r="T37" s="25"/>
      <c r="U37" s="24"/>
      <c r="V37" s="81"/>
      <c r="W37" s="81"/>
      <c r="X37" s="25"/>
      <c r="Y37" s="24"/>
      <c r="Z37" s="25"/>
      <c r="AA37" s="24"/>
      <c r="AB37" s="25"/>
      <c r="AC37" s="24"/>
      <c r="AD37" s="24"/>
      <c r="AE37" s="81"/>
      <c r="AF37" s="320">
        <v>12.136363636363635</v>
      </c>
      <c r="AG37" s="25"/>
      <c r="AH37" s="24"/>
      <c r="AI37" s="81"/>
      <c r="AJ37" s="24"/>
      <c r="AK37" s="24"/>
      <c r="AL37" s="24"/>
      <c r="AM37" s="24"/>
      <c r="AN37" s="81"/>
      <c r="AO37" s="24"/>
      <c r="AP37" s="81"/>
      <c r="AQ37" s="24" t="s">
        <v>404</v>
      </c>
      <c r="AR37" s="29" t="s">
        <v>174</v>
      </c>
      <c r="AS37" s="29"/>
      <c r="AT37" s="29"/>
      <c r="AU37" s="29" t="s">
        <v>382</v>
      </c>
      <c r="AV37" s="29">
        <v>5</v>
      </c>
      <c r="AW37" s="29"/>
      <c r="AX37" s="29"/>
      <c r="AY37" s="29"/>
      <c r="AZ37" s="74" t="s">
        <v>361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74" t="s">
        <v>174</v>
      </c>
      <c r="BN37" s="29"/>
      <c r="BO37" s="74" t="s">
        <v>174</v>
      </c>
      <c r="BP37" s="319"/>
      <c r="BQ37" s="29"/>
      <c r="BR37" s="29"/>
      <c r="BS37" s="24"/>
      <c r="BT37" s="24"/>
      <c r="BU37" s="29"/>
      <c r="BV37" s="74" t="s">
        <v>174</v>
      </c>
      <c r="BW37" s="24">
        <v>1</v>
      </c>
      <c r="BX37" s="308"/>
      <c r="BY37" s="269" t="s">
        <v>729</v>
      </c>
    </row>
    <row r="38" spans="1:77" x14ac:dyDescent="0.15">
      <c r="A38" s="33"/>
      <c r="B38" s="26">
        <v>43032</v>
      </c>
      <c r="C38" s="27" t="s">
        <v>377</v>
      </c>
      <c r="D38" s="68" t="s">
        <v>454</v>
      </c>
      <c r="E38" s="24"/>
      <c r="F38" s="24" t="s">
        <v>403</v>
      </c>
      <c r="G38" s="28">
        <v>42941</v>
      </c>
      <c r="H38" s="74" t="s">
        <v>175</v>
      </c>
      <c r="I38" s="74" t="s">
        <v>174</v>
      </c>
      <c r="J38" s="74"/>
      <c r="K38" s="68" t="s">
        <v>705</v>
      </c>
      <c r="L38" s="68" t="s">
        <v>748</v>
      </c>
      <c r="M38" s="320">
        <v>75</v>
      </c>
      <c r="N38" s="320">
        <v>30.881818181818179</v>
      </c>
      <c r="O38" s="24"/>
      <c r="P38" s="25"/>
      <c r="Q38" s="81"/>
      <c r="R38" s="25"/>
      <c r="S38" s="81"/>
      <c r="T38" s="25"/>
      <c r="U38" s="24"/>
      <c r="V38" s="81"/>
      <c r="W38" s="81"/>
      <c r="X38" s="25"/>
      <c r="Y38" s="24"/>
      <c r="Z38" s="25"/>
      <c r="AA38" s="24"/>
      <c r="AB38" s="25"/>
      <c r="AC38" s="24"/>
      <c r="AD38" s="24"/>
      <c r="AE38" s="81"/>
      <c r="AF38" s="320">
        <v>15.199999999999998</v>
      </c>
      <c r="AG38" s="25"/>
      <c r="AH38" s="24"/>
      <c r="AI38" s="81"/>
      <c r="AJ38" s="24"/>
      <c r="AK38" s="24"/>
      <c r="AL38" s="24"/>
      <c r="AM38" s="24"/>
      <c r="AN38" s="81"/>
      <c r="AO38" s="24"/>
      <c r="AP38" s="81"/>
      <c r="AQ38" s="24" t="s">
        <v>404</v>
      </c>
      <c r="AR38" s="29" t="s">
        <v>174</v>
      </c>
      <c r="AS38" s="29"/>
      <c r="AT38" s="29"/>
      <c r="AU38" s="29"/>
      <c r="AV38" s="29"/>
      <c r="AW38" s="29"/>
      <c r="AX38" s="29"/>
      <c r="AY38" s="29"/>
      <c r="AZ38" s="74" t="s">
        <v>174</v>
      </c>
      <c r="BA38" s="24"/>
      <c r="BB38" s="29">
        <v>0</v>
      </c>
      <c r="BC38" s="29">
        <v>5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74" t="s">
        <v>174</v>
      </c>
      <c r="BN38" s="29"/>
      <c r="BO38" s="74" t="s">
        <v>174</v>
      </c>
      <c r="BP38" s="319"/>
      <c r="BQ38" s="29"/>
      <c r="BR38" s="29"/>
      <c r="BS38" s="24"/>
      <c r="BT38" s="24"/>
      <c r="BU38" s="29"/>
      <c r="BV38" s="74" t="s">
        <v>174</v>
      </c>
      <c r="BW38" s="24"/>
      <c r="BX38" s="308"/>
      <c r="BY38" s="269" t="s">
        <v>749</v>
      </c>
    </row>
    <row r="39" spans="1:77" x14ac:dyDescent="0.15">
      <c r="A39" s="33"/>
      <c r="B39" s="26">
        <v>43032</v>
      </c>
      <c r="C39" s="27" t="s">
        <v>377</v>
      </c>
      <c r="D39" s="68" t="s">
        <v>454</v>
      </c>
      <c r="E39" s="24"/>
      <c r="F39" s="24" t="s">
        <v>403</v>
      </c>
      <c r="G39" s="28">
        <v>42916</v>
      </c>
      <c r="H39" s="74" t="s">
        <v>175</v>
      </c>
      <c r="I39" s="74" t="s">
        <v>174</v>
      </c>
      <c r="J39" s="74"/>
      <c r="K39" s="68" t="s">
        <v>708</v>
      </c>
      <c r="L39" s="68" t="s">
        <v>709</v>
      </c>
      <c r="M39" s="320">
        <v>87.954545454545453</v>
      </c>
      <c r="N39" s="320">
        <v>34.881818181818176</v>
      </c>
      <c r="O39" s="24"/>
      <c r="P39" s="25"/>
      <c r="Q39" s="81"/>
      <c r="R39" s="25"/>
      <c r="S39" s="81"/>
      <c r="T39" s="25"/>
      <c r="U39" s="24"/>
      <c r="V39" s="81"/>
      <c r="W39" s="81"/>
      <c r="X39" s="25"/>
      <c r="Y39" s="24"/>
      <c r="Z39" s="25"/>
      <c r="AA39" s="24"/>
      <c r="AB39" s="25"/>
      <c r="AC39" s="24"/>
      <c r="AD39" s="24"/>
      <c r="AE39" s="81"/>
      <c r="AF39" s="320">
        <v>14.481818181818181</v>
      </c>
      <c r="AG39" s="25"/>
      <c r="AH39" s="24"/>
      <c r="AI39" s="81"/>
      <c r="AJ39" s="24"/>
      <c r="AK39" s="24"/>
      <c r="AL39" s="24"/>
      <c r="AM39" s="24"/>
      <c r="AN39" s="81"/>
      <c r="AO39" s="24"/>
      <c r="AP39" s="81"/>
      <c r="AQ39" s="24" t="s">
        <v>404</v>
      </c>
      <c r="AR39" s="29" t="s">
        <v>174</v>
      </c>
      <c r="AS39" s="29"/>
      <c r="AT39" s="29"/>
      <c r="AU39" s="29" t="s">
        <v>382</v>
      </c>
      <c r="AV39" s="29">
        <v>8</v>
      </c>
      <c r="AW39" s="29"/>
      <c r="AX39" s="29"/>
      <c r="AY39" s="29"/>
      <c r="AZ39" s="74" t="s">
        <v>174</v>
      </c>
      <c r="BA39" s="24"/>
      <c r="BB39" s="29">
        <v>4</v>
      </c>
      <c r="BC39" s="29">
        <v>0</v>
      </c>
      <c r="BD39" s="29">
        <v>10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74" t="s">
        <v>174</v>
      </c>
      <c r="BN39" s="29"/>
      <c r="BO39" s="74" t="s">
        <v>174</v>
      </c>
      <c r="BP39" s="319"/>
      <c r="BQ39" s="29"/>
      <c r="BR39" s="29"/>
      <c r="BS39" s="24"/>
      <c r="BT39" s="24"/>
      <c r="BU39" s="29"/>
      <c r="BV39" s="74" t="s">
        <v>174</v>
      </c>
      <c r="BW39" s="24">
        <v>1</v>
      </c>
      <c r="BX39" s="308"/>
      <c r="BY39" s="269" t="s">
        <v>743</v>
      </c>
    </row>
    <row r="40" spans="1:77" x14ac:dyDescent="0.15">
      <c r="A40" s="33">
        <v>6342</v>
      </c>
      <c r="B40" s="26">
        <v>43032</v>
      </c>
      <c r="C40" s="27" t="s">
        <v>377</v>
      </c>
      <c r="D40" s="68" t="s">
        <v>454</v>
      </c>
      <c r="E40" s="24"/>
      <c r="F40" s="24" t="s">
        <v>403</v>
      </c>
      <c r="G40" s="31">
        <v>43021</v>
      </c>
      <c r="H40" s="29" t="s">
        <v>175</v>
      </c>
      <c r="I40" s="29" t="s">
        <v>174</v>
      </c>
      <c r="J40" s="29"/>
      <c r="K40" s="24" t="s">
        <v>419</v>
      </c>
      <c r="L40" s="68" t="s">
        <v>721</v>
      </c>
      <c r="M40" s="320">
        <v>99.318181818181813</v>
      </c>
      <c r="N40" s="320">
        <v>25.736363636363635</v>
      </c>
      <c r="O40" s="24"/>
      <c r="P40" s="24"/>
      <c r="Q40" s="318"/>
      <c r="R40" s="24"/>
      <c r="S40" s="318"/>
      <c r="T40" s="24"/>
      <c r="U40" s="24"/>
      <c r="V40" s="81"/>
      <c r="W40" s="81"/>
      <c r="X40" s="24"/>
      <c r="Y40" s="24"/>
      <c r="Z40" s="24"/>
      <c r="AA40" s="24"/>
      <c r="AB40" s="24"/>
      <c r="AC40" s="24"/>
      <c r="AD40" s="24"/>
      <c r="AE40" s="81"/>
      <c r="AF40" s="320">
        <v>13.354545454545454</v>
      </c>
      <c r="AG40" s="24"/>
      <c r="AH40" s="24"/>
      <c r="AI40" s="91"/>
      <c r="AJ40" s="24"/>
      <c r="AK40" s="24"/>
      <c r="AL40" s="24"/>
      <c r="AM40" s="24"/>
      <c r="AN40" s="81"/>
      <c r="AO40" s="24"/>
      <c r="AP40" s="81"/>
      <c r="AQ40" s="24" t="s">
        <v>404</v>
      </c>
      <c r="AR40" s="29" t="s">
        <v>174</v>
      </c>
      <c r="AS40" s="29"/>
      <c r="AT40" s="29"/>
      <c r="AU40" s="29" t="s">
        <v>382</v>
      </c>
      <c r="AV40" s="29">
        <v>6.8</v>
      </c>
      <c r="AW40" s="29"/>
      <c r="AX40" s="29"/>
      <c r="AY40" s="29"/>
      <c r="AZ40" s="29" t="s">
        <v>174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74" t="s">
        <v>174</v>
      </c>
      <c r="BN40" s="29"/>
      <c r="BO40" s="29" t="s">
        <v>174</v>
      </c>
      <c r="BP40" s="319"/>
      <c r="BQ40" s="29"/>
      <c r="BR40" s="29"/>
      <c r="BS40" s="30"/>
      <c r="BT40" s="30"/>
      <c r="BU40" s="29"/>
      <c r="BV40" s="29" t="s">
        <v>174</v>
      </c>
      <c r="BW40" s="24">
        <v>1</v>
      </c>
      <c r="BY40" s="67" t="s">
        <v>722</v>
      </c>
    </row>
    <row r="41" spans="1:77" x14ac:dyDescent="0.15">
      <c r="A41" s="33"/>
      <c r="B41" s="26">
        <v>43032</v>
      </c>
      <c r="C41" s="27" t="s">
        <v>377</v>
      </c>
      <c r="D41" s="68" t="s">
        <v>454</v>
      </c>
      <c r="E41" s="24"/>
      <c r="F41" s="24" t="s">
        <v>403</v>
      </c>
      <c r="G41" s="28">
        <v>43006</v>
      </c>
      <c r="H41" s="74" t="s">
        <v>175</v>
      </c>
      <c r="I41" s="74" t="s">
        <v>174</v>
      </c>
      <c r="J41" s="74"/>
      <c r="K41" s="68" t="s">
        <v>723</v>
      </c>
      <c r="L41" s="68" t="s">
        <v>724</v>
      </c>
      <c r="M41" s="320">
        <v>89.999999999999986</v>
      </c>
      <c r="N41" s="320">
        <v>26.36363636363636</v>
      </c>
      <c r="O41" s="24"/>
      <c r="P41" s="25"/>
      <c r="Q41" s="81"/>
      <c r="R41" s="25"/>
      <c r="S41" s="81"/>
      <c r="T41" s="25"/>
      <c r="U41" s="24"/>
      <c r="V41" s="81"/>
      <c r="W41" s="81"/>
      <c r="X41" s="25"/>
      <c r="Y41" s="24"/>
      <c r="Z41" s="25"/>
      <c r="AA41" s="24"/>
      <c r="AB41" s="25"/>
      <c r="AC41" s="24"/>
      <c r="AD41" s="24"/>
      <c r="AE41" s="81"/>
      <c r="AF41" s="320">
        <v>17.27272727272727</v>
      </c>
      <c r="AG41" s="25"/>
      <c r="AH41" s="24"/>
      <c r="AI41" s="81"/>
      <c r="AJ41" s="24"/>
      <c r="AK41" s="24"/>
      <c r="AL41" s="24"/>
      <c r="AM41" s="24"/>
      <c r="AN41" s="81"/>
      <c r="AO41" s="24"/>
      <c r="AP41" s="81"/>
      <c r="AQ41" s="24" t="s">
        <v>404</v>
      </c>
      <c r="AR41" s="29" t="s">
        <v>174</v>
      </c>
      <c r="AS41" s="29"/>
      <c r="AT41" s="29"/>
      <c r="AU41" s="29" t="s">
        <v>382</v>
      </c>
      <c r="AV41" s="29">
        <v>7</v>
      </c>
      <c r="AW41" s="29"/>
      <c r="AX41" s="29"/>
      <c r="AY41" s="29"/>
      <c r="AZ41" s="74" t="s">
        <v>174</v>
      </c>
      <c r="BA41" s="24"/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74" t="s">
        <v>174</v>
      </c>
      <c r="BN41" s="29"/>
      <c r="BO41" s="74" t="s">
        <v>174</v>
      </c>
      <c r="BP41" s="319"/>
      <c r="BQ41" s="29"/>
      <c r="BR41" s="29"/>
      <c r="BS41" s="24"/>
      <c r="BT41" s="24"/>
      <c r="BU41" s="29"/>
      <c r="BV41" s="74" t="s">
        <v>174</v>
      </c>
      <c r="BW41" s="24">
        <v>1</v>
      </c>
      <c r="BX41" s="308"/>
      <c r="BY41" s="269" t="s">
        <v>725</v>
      </c>
    </row>
    <row r="42" spans="1:77" x14ac:dyDescent="0.15">
      <c r="A42" s="33"/>
      <c r="B42" s="26">
        <v>43032</v>
      </c>
      <c r="C42" s="27" t="s">
        <v>377</v>
      </c>
      <c r="D42" s="68" t="s">
        <v>454</v>
      </c>
      <c r="E42" s="24"/>
      <c r="F42" s="24" t="s">
        <v>403</v>
      </c>
      <c r="G42" s="28">
        <v>42980</v>
      </c>
      <c r="H42" s="74" t="s">
        <v>175</v>
      </c>
      <c r="I42" s="74" t="s">
        <v>174</v>
      </c>
      <c r="J42" s="74"/>
      <c r="K42" s="68" t="s">
        <v>733</v>
      </c>
      <c r="L42" s="68" t="s">
        <v>734</v>
      </c>
      <c r="M42" s="320">
        <v>80</v>
      </c>
      <c r="N42" s="320">
        <v>29.299999999999994</v>
      </c>
      <c r="O42" s="24"/>
      <c r="P42" s="25"/>
      <c r="Q42" s="81"/>
      <c r="R42" s="25"/>
      <c r="S42" s="81"/>
      <c r="T42" s="25"/>
      <c r="U42" s="24"/>
      <c r="V42" s="81"/>
      <c r="W42" s="81"/>
      <c r="X42" s="25"/>
      <c r="Y42" s="24"/>
      <c r="Z42" s="25"/>
      <c r="AA42" s="24"/>
      <c r="AB42" s="25"/>
      <c r="AC42" s="24"/>
      <c r="AD42" s="24"/>
      <c r="AE42" s="81"/>
      <c r="AF42" s="320">
        <v>15.099999999999998</v>
      </c>
      <c r="AG42" s="25"/>
      <c r="AH42" s="24"/>
      <c r="AI42" s="81"/>
      <c r="AJ42" s="24"/>
      <c r="AK42" s="24"/>
      <c r="AL42" s="24"/>
      <c r="AM42" s="24"/>
      <c r="AN42" s="81"/>
      <c r="AO42" s="24"/>
      <c r="AP42" s="81"/>
      <c r="AQ42" s="24" t="s">
        <v>404</v>
      </c>
      <c r="AR42" s="29" t="s">
        <v>174</v>
      </c>
      <c r="AS42" s="29"/>
      <c r="AT42" s="29"/>
      <c r="AU42" s="29" t="s">
        <v>382</v>
      </c>
      <c r="AV42" s="29">
        <v>8</v>
      </c>
      <c r="AW42" s="29"/>
      <c r="AX42" s="29"/>
      <c r="AY42" s="29"/>
      <c r="AZ42" s="74" t="s">
        <v>174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74" t="s">
        <v>174</v>
      </c>
      <c r="BN42" s="29"/>
      <c r="BO42" s="74" t="s">
        <v>174</v>
      </c>
      <c r="BP42" s="319"/>
      <c r="BQ42" s="29"/>
      <c r="BR42" s="29"/>
      <c r="BS42" s="24"/>
      <c r="BT42" s="24"/>
      <c r="BU42" s="29"/>
      <c r="BV42" s="74" t="s">
        <v>174</v>
      </c>
      <c r="BW42" s="24">
        <v>1</v>
      </c>
      <c r="BX42" s="308"/>
      <c r="BY42" s="269" t="s">
        <v>735</v>
      </c>
    </row>
    <row r="43" spans="1:77" x14ac:dyDescent="0.15">
      <c r="A43" s="33">
        <v>4250</v>
      </c>
      <c r="B43" s="26">
        <v>43032</v>
      </c>
      <c r="C43" s="27" t="s">
        <v>377</v>
      </c>
      <c r="D43" s="68" t="s">
        <v>454</v>
      </c>
      <c r="E43" s="24"/>
      <c r="F43" s="68" t="s">
        <v>750</v>
      </c>
      <c r="G43" s="28">
        <v>43026</v>
      </c>
      <c r="H43" s="29" t="s">
        <v>175</v>
      </c>
      <c r="I43" s="29" t="s">
        <v>174</v>
      </c>
      <c r="J43" s="29"/>
      <c r="K43" s="24" t="s">
        <v>296</v>
      </c>
      <c r="L43" s="68" t="s">
        <v>741</v>
      </c>
      <c r="M43" s="320">
        <v>111.32727272727271</v>
      </c>
      <c r="N43" s="320">
        <v>37.618181818181817</v>
      </c>
      <c r="O43" s="24"/>
      <c r="P43" s="25"/>
      <c r="Q43" s="318"/>
      <c r="R43" s="25"/>
      <c r="S43" s="81"/>
      <c r="T43" s="25"/>
      <c r="U43" s="24"/>
      <c r="V43" s="81"/>
      <c r="W43" s="320">
        <v>25.072727272727271</v>
      </c>
      <c r="X43" s="24"/>
      <c r="Y43" s="24"/>
      <c r="Z43" s="24"/>
      <c r="AA43" s="24"/>
      <c r="AB43" s="25"/>
      <c r="AC43" s="24"/>
      <c r="AD43" s="24"/>
      <c r="AE43" s="81"/>
      <c r="AF43" s="81"/>
      <c r="AG43" s="25"/>
      <c r="AH43" s="24"/>
      <c r="AI43" s="320">
        <v>31.072727272727271</v>
      </c>
      <c r="AJ43" s="24"/>
      <c r="AK43" s="24"/>
      <c r="AL43" s="24"/>
      <c r="AM43" s="24"/>
      <c r="AN43" s="81"/>
      <c r="AO43" s="24"/>
      <c r="AP43" s="81"/>
      <c r="AQ43" s="68" t="s">
        <v>752</v>
      </c>
      <c r="AR43" s="29" t="s">
        <v>174</v>
      </c>
      <c r="AS43" s="29"/>
      <c r="AT43" s="29"/>
      <c r="AU43" s="29" t="s">
        <v>382</v>
      </c>
      <c r="AV43" s="29">
        <v>5</v>
      </c>
      <c r="AW43" s="29"/>
      <c r="AX43" s="29"/>
      <c r="AY43" s="29"/>
      <c r="AZ43" s="29" t="s">
        <v>361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/>
      <c r="BO43" s="29" t="s">
        <v>174</v>
      </c>
      <c r="BP43" s="319"/>
      <c r="BQ43" s="29"/>
      <c r="BR43" s="29"/>
      <c r="BS43" s="30"/>
      <c r="BT43" s="30"/>
      <c r="BU43" s="29"/>
      <c r="BV43" s="29" t="s">
        <v>174</v>
      </c>
      <c r="BW43" s="24"/>
      <c r="BX43" s="66"/>
      <c r="BY43" s="67" t="s">
        <v>742</v>
      </c>
    </row>
    <row r="44" spans="1:77" x14ac:dyDescent="0.15">
      <c r="A44" s="33">
        <v>5549</v>
      </c>
      <c r="B44" s="26">
        <v>43032</v>
      </c>
      <c r="C44" s="27" t="s">
        <v>377</v>
      </c>
      <c r="D44" s="68" t="s">
        <v>454</v>
      </c>
      <c r="E44" s="24"/>
      <c r="F44" s="68" t="s">
        <v>750</v>
      </c>
      <c r="G44" s="31">
        <v>43028</v>
      </c>
      <c r="H44" s="29" t="s">
        <v>175</v>
      </c>
      <c r="I44" s="29" t="s">
        <v>174</v>
      </c>
      <c r="J44" s="29"/>
      <c r="K44" s="24" t="s">
        <v>297</v>
      </c>
      <c r="L44" s="68" t="s">
        <v>727</v>
      </c>
      <c r="M44" s="320">
        <v>67.781818181818181</v>
      </c>
      <c r="N44" s="320">
        <v>29.081818181818178</v>
      </c>
      <c r="O44" s="24"/>
      <c r="P44" s="25"/>
      <c r="Q44" s="318"/>
      <c r="R44" s="25"/>
      <c r="S44" s="81"/>
      <c r="T44" s="25"/>
      <c r="U44" s="24"/>
      <c r="V44" s="81"/>
      <c r="W44" s="320">
        <v>18.172727272727268</v>
      </c>
      <c r="X44" s="24"/>
      <c r="Y44" s="24"/>
      <c r="Z44" s="24"/>
      <c r="AA44" s="24"/>
      <c r="AB44" s="24"/>
      <c r="AC44" s="24"/>
      <c r="AD44" s="24"/>
      <c r="AE44" s="81"/>
      <c r="AF44" s="81"/>
      <c r="AG44" s="25"/>
      <c r="AH44" s="24"/>
      <c r="AI44" s="320">
        <v>26.390909090909091</v>
      </c>
      <c r="AJ44" s="24"/>
      <c r="AK44" s="24"/>
      <c r="AL44" s="24"/>
      <c r="AM44" s="24"/>
      <c r="AN44" s="81"/>
      <c r="AO44" s="24"/>
      <c r="AP44" s="81"/>
      <c r="AQ44" s="68" t="s">
        <v>752</v>
      </c>
      <c r="AR44" s="29" t="s">
        <v>174</v>
      </c>
      <c r="AS44" s="29"/>
      <c r="AT44" s="29"/>
      <c r="AU44" s="29" t="s">
        <v>382</v>
      </c>
      <c r="AV44" s="29">
        <v>9.5</v>
      </c>
      <c r="AW44" s="29"/>
      <c r="AX44" s="29"/>
      <c r="AY44" s="29"/>
      <c r="AZ44" s="29" t="s">
        <v>174</v>
      </c>
      <c r="BA44" s="24"/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319"/>
      <c r="BQ44" s="29"/>
      <c r="BR44" s="29"/>
      <c r="BS44" s="24"/>
      <c r="BT44" s="24"/>
      <c r="BU44" s="29"/>
      <c r="BV44" s="29" t="s">
        <v>174</v>
      </c>
      <c r="BW44" s="68">
        <v>1</v>
      </c>
      <c r="BX44" s="66"/>
      <c r="BY44" s="67" t="s">
        <v>728</v>
      </c>
    </row>
    <row r="45" spans="1:77" x14ac:dyDescent="0.15">
      <c r="A45" s="33">
        <v>5770</v>
      </c>
      <c r="B45" s="26">
        <v>43032</v>
      </c>
      <c r="C45" s="27" t="s">
        <v>377</v>
      </c>
      <c r="D45" s="68" t="s">
        <v>454</v>
      </c>
      <c r="E45" s="24"/>
      <c r="F45" s="68" t="s">
        <v>750</v>
      </c>
      <c r="G45" s="28">
        <v>42948</v>
      </c>
      <c r="H45" s="29" t="s">
        <v>175</v>
      </c>
      <c r="I45" s="29" t="s">
        <v>174</v>
      </c>
      <c r="J45" s="29"/>
      <c r="K45" s="24" t="s">
        <v>300</v>
      </c>
      <c r="L45" s="24" t="s">
        <v>517</v>
      </c>
      <c r="M45" s="320">
        <v>100.90909090909091</v>
      </c>
      <c r="N45" s="320">
        <v>49.999999999999993</v>
      </c>
      <c r="O45" s="24"/>
      <c r="P45" s="25"/>
      <c r="Q45" s="318"/>
      <c r="R45" s="25"/>
      <c r="S45" s="81"/>
      <c r="T45" s="25"/>
      <c r="U45" s="24"/>
      <c r="V45" s="81"/>
      <c r="W45" s="320">
        <v>29.09090909090909</v>
      </c>
      <c r="X45" s="24"/>
      <c r="Y45" s="24"/>
      <c r="Z45" s="24"/>
      <c r="AA45" s="24"/>
      <c r="AB45" s="24"/>
      <c r="AC45" s="24"/>
      <c r="AD45" s="24"/>
      <c r="AE45" s="81"/>
      <c r="AF45" s="81"/>
      <c r="AG45" s="25"/>
      <c r="AH45" s="24"/>
      <c r="AI45" s="320">
        <v>36.272727272727266</v>
      </c>
      <c r="AJ45" s="24"/>
      <c r="AK45" s="24"/>
      <c r="AL45" s="24"/>
      <c r="AM45" s="24"/>
      <c r="AN45" s="81"/>
      <c r="AO45" s="24"/>
      <c r="AP45" s="81"/>
      <c r="AQ45" s="68" t="s">
        <v>752</v>
      </c>
      <c r="AR45" s="29" t="s">
        <v>174</v>
      </c>
      <c r="AS45" s="29"/>
      <c r="AT45" s="29"/>
      <c r="AU45" s="29" t="s">
        <v>382</v>
      </c>
      <c r="AV45" s="29">
        <v>7</v>
      </c>
      <c r="AW45" s="29"/>
      <c r="AX45" s="29"/>
      <c r="AY45" s="29"/>
      <c r="AZ45" s="29" t="s">
        <v>361</v>
      </c>
      <c r="BA45" s="24"/>
      <c r="BB45" s="29">
        <v>0</v>
      </c>
      <c r="BC45" s="29">
        <v>0</v>
      </c>
      <c r="BD45" s="29">
        <v>7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/>
      <c r="BO45" s="29" t="s">
        <v>174</v>
      </c>
      <c r="BP45" s="319"/>
      <c r="BQ45" s="29"/>
      <c r="BR45" s="29"/>
      <c r="BS45" s="24"/>
      <c r="BT45" s="24"/>
      <c r="BU45" s="29"/>
      <c r="BV45" s="29" t="s">
        <v>174</v>
      </c>
      <c r="BW45" s="24"/>
      <c r="BY45" s="32" t="s">
        <v>745</v>
      </c>
    </row>
    <row r="46" spans="1:77" x14ac:dyDescent="0.15">
      <c r="A46" s="33">
        <v>5268</v>
      </c>
      <c r="B46" s="26">
        <v>43032</v>
      </c>
      <c r="C46" s="27" t="s">
        <v>377</v>
      </c>
      <c r="D46" s="68" t="s">
        <v>454</v>
      </c>
      <c r="E46" s="24"/>
      <c r="F46" s="68" t="s">
        <v>750</v>
      </c>
      <c r="G46" s="28">
        <v>43008</v>
      </c>
      <c r="H46" s="29" t="s">
        <v>175</v>
      </c>
      <c r="I46" s="29" t="s">
        <v>174</v>
      </c>
      <c r="J46" s="29"/>
      <c r="K46" s="24" t="s">
        <v>301</v>
      </c>
      <c r="L46" s="24" t="s">
        <v>520</v>
      </c>
      <c r="M46" s="320">
        <v>102</v>
      </c>
      <c r="N46" s="320">
        <v>52.4</v>
      </c>
      <c r="O46" s="24"/>
      <c r="P46" s="25"/>
      <c r="Q46" s="81"/>
      <c r="R46" s="25"/>
      <c r="S46" s="81"/>
      <c r="T46" s="25"/>
      <c r="U46" s="24"/>
      <c r="V46" s="81"/>
      <c r="W46" s="320">
        <v>32.354545454545452</v>
      </c>
      <c r="X46" s="25"/>
      <c r="Y46" s="24"/>
      <c r="Z46" s="25"/>
      <c r="AA46" s="24"/>
      <c r="AB46" s="25"/>
      <c r="AC46" s="24"/>
      <c r="AD46" s="24"/>
      <c r="AE46" s="81"/>
      <c r="AF46" s="81"/>
      <c r="AG46" s="25"/>
      <c r="AH46" s="24"/>
      <c r="AI46" s="320">
        <v>26.981818181818181</v>
      </c>
      <c r="AJ46" s="24"/>
      <c r="AK46" s="24"/>
      <c r="AL46" s="24"/>
      <c r="AM46" s="24"/>
      <c r="AN46" s="81"/>
      <c r="AO46" s="24"/>
      <c r="AP46" s="81"/>
      <c r="AQ46" s="68" t="s">
        <v>752</v>
      </c>
      <c r="AR46" s="29" t="s">
        <v>174</v>
      </c>
      <c r="AS46" s="29"/>
      <c r="AT46" s="29"/>
      <c r="AU46" s="29" t="s">
        <v>382</v>
      </c>
      <c r="AV46" s="29">
        <v>9.35</v>
      </c>
      <c r="AW46" s="29"/>
      <c r="AX46" s="29"/>
      <c r="AY46" s="29"/>
      <c r="AZ46" s="29" t="s">
        <v>361</v>
      </c>
      <c r="BA46" s="24"/>
      <c r="BB46" s="29">
        <v>3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>
        <v>12</v>
      </c>
      <c r="BO46" s="29" t="s">
        <v>174</v>
      </c>
      <c r="BP46" s="319"/>
      <c r="BQ46" s="29">
        <v>12</v>
      </c>
      <c r="BR46" s="29"/>
      <c r="BS46" s="24"/>
      <c r="BT46" s="24"/>
      <c r="BU46" s="29"/>
      <c r="BV46" s="29" t="s">
        <v>174</v>
      </c>
      <c r="BW46" s="24">
        <v>1</v>
      </c>
      <c r="BX46" s="66"/>
      <c r="BY46" s="67" t="s">
        <v>744</v>
      </c>
    </row>
    <row r="47" spans="1:77" x14ac:dyDescent="0.15">
      <c r="A47" s="33">
        <v>931</v>
      </c>
      <c r="B47" s="26">
        <v>43032</v>
      </c>
      <c r="C47" s="27" t="s">
        <v>377</v>
      </c>
      <c r="D47" s="68" t="s">
        <v>454</v>
      </c>
      <c r="E47" s="24"/>
      <c r="F47" s="68" t="s">
        <v>750</v>
      </c>
      <c r="G47" s="28">
        <v>43008</v>
      </c>
      <c r="H47" s="29" t="s">
        <v>175</v>
      </c>
      <c r="I47" s="29" t="s">
        <v>174</v>
      </c>
      <c r="J47" s="29"/>
      <c r="K47" s="24" t="s">
        <v>303</v>
      </c>
      <c r="L47" s="24" t="s">
        <v>522</v>
      </c>
      <c r="M47" s="320">
        <v>112.03636363636362</v>
      </c>
      <c r="N47" s="320">
        <v>53.999999999999993</v>
      </c>
      <c r="O47" s="24"/>
      <c r="P47" s="25"/>
      <c r="Q47" s="81"/>
      <c r="R47" s="25"/>
      <c r="S47" s="81"/>
      <c r="T47" s="24"/>
      <c r="U47" s="24"/>
      <c r="V47" s="81"/>
      <c r="W47" s="320">
        <v>24.7</v>
      </c>
      <c r="X47" s="24"/>
      <c r="Y47" s="24"/>
      <c r="Z47" s="24"/>
      <c r="AA47" s="24"/>
      <c r="AB47" s="24"/>
      <c r="AC47" s="24"/>
      <c r="AD47" s="24"/>
      <c r="AE47" s="81"/>
      <c r="AF47" s="81"/>
      <c r="AG47" s="25"/>
      <c r="AH47" s="24"/>
      <c r="AI47" s="320">
        <v>31.499999999999996</v>
      </c>
      <c r="AJ47" s="24"/>
      <c r="AK47" s="24"/>
      <c r="AL47" s="24"/>
      <c r="AM47" s="24"/>
      <c r="AN47" s="81"/>
      <c r="AO47" s="24"/>
      <c r="AP47" s="81"/>
      <c r="AQ47" s="68" t="s">
        <v>752</v>
      </c>
      <c r="AR47" s="29" t="s">
        <v>174</v>
      </c>
      <c r="AS47" s="29"/>
      <c r="AT47" s="29"/>
      <c r="AU47" s="29" t="s">
        <v>382</v>
      </c>
      <c r="AV47" s="29">
        <v>6.8</v>
      </c>
      <c r="AW47" s="29"/>
      <c r="AX47" s="29"/>
      <c r="AY47" s="29"/>
      <c r="AZ47" s="29" t="s">
        <v>361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/>
      <c r="BO47" s="29" t="s">
        <v>174</v>
      </c>
      <c r="BP47" s="319"/>
      <c r="BQ47" s="29"/>
      <c r="BR47" s="29"/>
      <c r="BS47" s="24"/>
      <c r="BT47" s="24"/>
      <c r="BU47" s="29"/>
      <c r="BV47" s="29" t="s">
        <v>174</v>
      </c>
      <c r="BW47" s="24"/>
      <c r="BY47" s="32" t="s">
        <v>740</v>
      </c>
    </row>
    <row r="48" spans="1:77" x14ac:dyDescent="0.15">
      <c r="A48" s="33">
        <v>5408</v>
      </c>
      <c r="B48" s="26">
        <v>43032</v>
      </c>
      <c r="C48" s="27" t="s">
        <v>377</v>
      </c>
      <c r="D48" s="68" t="s">
        <v>454</v>
      </c>
      <c r="E48" s="24"/>
      <c r="F48" s="68" t="s">
        <v>750</v>
      </c>
      <c r="G48" s="28">
        <v>42916</v>
      </c>
      <c r="H48" s="29" t="s">
        <v>175</v>
      </c>
      <c r="I48" s="29" t="s">
        <v>174</v>
      </c>
      <c r="J48" s="29"/>
      <c r="K48" s="24" t="s">
        <v>304</v>
      </c>
      <c r="L48" s="68" t="s">
        <v>731</v>
      </c>
      <c r="M48" s="320">
        <v>86.172727272727272</v>
      </c>
      <c r="N48" s="320">
        <v>34.736363636363635</v>
      </c>
      <c r="O48" s="24"/>
      <c r="P48" s="25"/>
      <c r="Q48" s="81"/>
      <c r="R48" s="25"/>
      <c r="S48" s="81"/>
      <c r="T48" s="25"/>
      <c r="U48" s="24"/>
      <c r="V48" s="81"/>
      <c r="W48" s="320">
        <v>22.072727272727271</v>
      </c>
      <c r="X48" s="24"/>
      <c r="Y48" s="24"/>
      <c r="Z48" s="25"/>
      <c r="AA48" s="24"/>
      <c r="AB48" s="25"/>
      <c r="AC48" s="24"/>
      <c r="AD48" s="24"/>
      <c r="AE48" s="81"/>
      <c r="AF48" s="81"/>
      <c r="AG48" s="25"/>
      <c r="AH48" s="24"/>
      <c r="AI48" s="320">
        <v>28.981818181818177</v>
      </c>
      <c r="AJ48" s="24"/>
      <c r="AK48" s="24"/>
      <c r="AL48" s="24"/>
      <c r="AM48" s="24"/>
      <c r="AN48" s="81"/>
      <c r="AO48" s="24"/>
      <c r="AP48" s="81"/>
      <c r="AQ48" s="68" t="s">
        <v>752</v>
      </c>
      <c r="AR48" s="29" t="s">
        <v>174</v>
      </c>
      <c r="AS48" s="29"/>
      <c r="AT48" s="29"/>
      <c r="AU48" s="29" t="s">
        <v>382</v>
      </c>
      <c r="AV48" s="29">
        <v>6</v>
      </c>
      <c r="AW48" s="29"/>
      <c r="AX48" s="29"/>
      <c r="AY48" s="29"/>
      <c r="AZ48" s="29" t="s">
        <v>361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174</v>
      </c>
      <c r="BN48" s="29">
        <v>12</v>
      </c>
      <c r="BO48" s="29" t="s">
        <v>174</v>
      </c>
      <c r="BP48" s="319"/>
      <c r="BQ48" s="29">
        <v>12</v>
      </c>
      <c r="BR48" s="29"/>
      <c r="BS48" s="24"/>
      <c r="BT48" s="24"/>
      <c r="BU48" s="29"/>
      <c r="BV48" s="29" t="s">
        <v>174</v>
      </c>
      <c r="BW48" s="24"/>
      <c r="BX48" s="66"/>
      <c r="BY48" s="67" t="s">
        <v>732</v>
      </c>
    </row>
    <row r="49" spans="1:77" x14ac:dyDescent="0.15">
      <c r="A49" s="33">
        <v>5633</v>
      </c>
      <c r="B49" s="26">
        <v>43032</v>
      </c>
      <c r="C49" s="27" t="s">
        <v>377</v>
      </c>
      <c r="D49" s="68" t="s">
        <v>454</v>
      </c>
      <c r="E49" s="24"/>
      <c r="F49" s="68" t="s">
        <v>750</v>
      </c>
      <c r="G49" s="31">
        <v>43008</v>
      </c>
      <c r="H49" s="74" t="s">
        <v>175</v>
      </c>
      <c r="I49" s="74" t="s">
        <v>174</v>
      </c>
      <c r="J49" s="29"/>
      <c r="K49" s="24" t="s">
        <v>495</v>
      </c>
      <c r="L49" s="68" t="s">
        <v>737</v>
      </c>
      <c r="M49" s="320">
        <v>107.79999999999998</v>
      </c>
      <c r="N49" s="320">
        <v>31.36363636363636</v>
      </c>
      <c r="O49" s="24"/>
      <c r="P49" s="25"/>
      <c r="Q49" s="81"/>
      <c r="R49" s="25"/>
      <c r="S49" s="81"/>
      <c r="T49" s="24"/>
      <c r="U49" s="24"/>
      <c r="V49" s="81"/>
      <c r="W49" s="320">
        <v>22.536363636363635</v>
      </c>
      <c r="X49" s="24"/>
      <c r="Y49" s="24"/>
      <c r="Z49" s="24"/>
      <c r="AA49" s="24"/>
      <c r="AB49" s="24"/>
      <c r="AC49" s="24"/>
      <c r="AD49" s="24"/>
      <c r="AE49" s="81"/>
      <c r="AF49" s="81"/>
      <c r="AG49" s="25"/>
      <c r="AH49" s="24"/>
      <c r="AI49" s="320">
        <v>24.009090909090908</v>
      </c>
      <c r="AJ49" s="24"/>
      <c r="AK49" s="24"/>
      <c r="AL49" s="24"/>
      <c r="AM49" s="24"/>
      <c r="AN49" s="81"/>
      <c r="AO49" s="24"/>
      <c r="AP49" s="81"/>
      <c r="AQ49" s="68" t="s">
        <v>752</v>
      </c>
      <c r="AR49" s="29" t="s">
        <v>174</v>
      </c>
      <c r="AS49" s="29"/>
      <c r="AT49" s="29"/>
      <c r="AU49" s="74" t="s">
        <v>382</v>
      </c>
      <c r="AV49" s="29">
        <v>3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29" t="s">
        <v>174</v>
      </c>
      <c r="BN49" s="29">
        <v>12</v>
      </c>
      <c r="BO49" s="29" t="s">
        <v>174</v>
      </c>
      <c r="BP49" s="319"/>
      <c r="BQ49" s="29">
        <v>12</v>
      </c>
      <c r="BR49" s="29"/>
      <c r="BS49" s="30"/>
      <c r="BT49" s="30"/>
      <c r="BU49" s="29"/>
      <c r="BV49" s="29" t="s">
        <v>174</v>
      </c>
      <c r="BW49" s="24">
        <v>1</v>
      </c>
      <c r="BY49" s="32" t="s">
        <v>738</v>
      </c>
    </row>
    <row r="50" spans="1:77" x14ac:dyDescent="0.15">
      <c r="A50" s="33">
        <v>6122</v>
      </c>
      <c r="B50" s="26">
        <v>43032</v>
      </c>
      <c r="C50" s="27" t="s">
        <v>377</v>
      </c>
      <c r="D50" s="68" t="s">
        <v>454</v>
      </c>
      <c r="E50" s="24"/>
      <c r="F50" s="68" t="s">
        <v>750</v>
      </c>
      <c r="G50" s="28">
        <v>42949</v>
      </c>
      <c r="H50" s="29" t="s">
        <v>175</v>
      </c>
      <c r="I50" s="29" t="s">
        <v>174</v>
      </c>
      <c r="J50" s="29"/>
      <c r="K50" s="24" t="s">
        <v>594</v>
      </c>
      <c r="L50" s="24" t="s">
        <v>595</v>
      </c>
      <c r="M50" s="320">
        <v>70</v>
      </c>
      <c r="N50" s="320">
        <v>33.636363636363633</v>
      </c>
      <c r="O50" s="24"/>
      <c r="P50" s="25"/>
      <c r="Q50" s="81"/>
      <c r="R50" s="25"/>
      <c r="S50" s="81"/>
      <c r="T50" s="25"/>
      <c r="U50" s="24"/>
      <c r="V50" s="81"/>
      <c r="W50" s="320">
        <v>19.09090909090909</v>
      </c>
      <c r="X50" s="25"/>
      <c r="Y50" s="24"/>
      <c r="Z50" s="25"/>
      <c r="AA50" s="24"/>
      <c r="AB50" s="25"/>
      <c r="AC50" s="24"/>
      <c r="AD50" s="24"/>
      <c r="AE50" s="81"/>
      <c r="AF50" s="81"/>
      <c r="AG50" s="25"/>
      <c r="AH50" s="24"/>
      <c r="AI50" s="320">
        <v>26.818181818181817</v>
      </c>
      <c r="AJ50" s="24"/>
      <c r="AK50" s="24"/>
      <c r="AL50" s="24"/>
      <c r="AM50" s="24"/>
      <c r="AN50" s="81"/>
      <c r="AO50" s="24"/>
      <c r="AP50" s="81"/>
      <c r="AQ50" s="68" t="s">
        <v>752</v>
      </c>
      <c r="AR50" s="29" t="s">
        <v>174</v>
      </c>
      <c r="AS50" s="29"/>
      <c r="AT50" s="29"/>
      <c r="AU50" s="29" t="s">
        <v>382</v>
      </c>
      <c r="AV50" s="29">
        <v>7</v>
      </c>
      <c r="AW50" s="29"/>
      <c r="AX50" s="29"/>
      <c r="AY50" s="29"/>
      <c r="AZ50" s="29" t="s">
        <v>361</v>
      </c>
      <c r="BA50" s="24"/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29" t="s">
        <v>174</v>
      </c>
      <c r="BN50" s="29"/>
      <c r="BO50" s="29" t="s">
        <v>174</v>
      </c>
      <c r="BP50" s="321">
        <v>163.58181818181816</v>
      </c>
      <c r="BQ50" s="29"/>
      <c r="BR50" s="283"/>
      <c r="BS50" s="30"/>
      <c r="BT50" s="30"/>
      <c r="BU50" s="29"/>
      <c r="BV50" s="29" t="s">
        <v>174</v>
      </c>
      <c r="BW50" s="24"/>
      <c r="BY50" s="67" t="s">
        <v>726</v>
      </c>
    </row>
    <row r="51" spans="1:77" x14ac:dyDescent="0.15">
      <c r="A51" s="33"/>
      <c r="B51" s="26">
        <v>43032</v>
      </c>
      <c r="C51" s="27" t="s">
        <v>377</v>
      </c>
      <c r="D51" s="68" t="s">
        <v>454</v>
      </c>
      <c r="E51" s="24"/>
      <c r="F51" s="68" t="s">
        <v>750</v>
      </c>
      <c r="G51" s="28">
        <v>42916</v>
      </c>
      <c r="H51" s="74" t="s">
        <v>175</v>
      </c>
      <c r="I51" s="74" t="s">
        <v>174</v>
      </c>
      <c r="J51" s="29"/>
      <c r="K51" s="68" t="s">
        <v>676</v>
      </c>
      <c r="L51" s="68" t="s">
        <v>677</v>
      </c>
      <c r="M51" s="320">
        <v>80</v>
      </c>
      <c r="N51" s="320">
        <v>48.327272727272721</v>
      </c>
      <c r="O51" s="24"/>
      <c r="P51" s="25"/>
      <c r="Q51" s="81"/>
      <c r="R51" s="25"/>
      <c r="S51" s="81"/>
      <c r="T51" s="25"/>
      <c r="U51" s="24"/>
      <c r="V51" s="81"/>
      <c r="W51" s="320">
        <v>23</v>
      </c>
      <c r="X51" s="25"/>
      <c r="Y51" s="24"/>
      <c r="Z51" s="25"/>
      <c r="AA51" s="24"/>
      <c r="AB51" s="25"/>
      <c r="AC51" s="24"/>
      <c r="AD51" s="24"/>
      <c r="AE51" s="81"/>
      <c r="AF51" s="81"/>
      <c r="AG51" s="25"/>
      <c r="AH51" s="24"/>
      <c r="AI51" s="320">
        <v>32</v>
      </c>
      <c r="AJ51" s="24"/>
      <c r="AK51" s="24"/>
      <c r="AL51" s="24"/>
      <c r="AM51" s="24"/>
      <c r="AN51" s="81"/>
      <c r="AO51" s="24"/>
      <c r="AP51" s="81"/>
      <c r="AQ51" s="68" t="s">
        <v>752</v>
      </c>
      <c r="AR51" s="29" t="s">
        <v>174</v>
      </c>
      <c r="AS51" s="29"/>
      <c r="AT51" s="29"/>
      <c r="AU51" s="29" t="s">
        <v>382</v>
      </c>
      <c r="AV51" s="29">
        <v>6</v>
      </c>
      <c r="AW51" s="29"/>
      <c r="AX51" s="29"/>
      <c r="AY51" s="29"/>
      <c r="AZ51" s="74" t="s">
        <v>361</v>
      </c>
      <c r="BA51" s="24"/>
      <c r="BB51" s="29">
        <v>0</v>
      </c>
      <c r="BC51" s="29">
        <v>15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74" t="s">
        <v>174</v>
      </c>
      <c r="BN51" s="29"/>
      <c r="BO51" s="74" t="s">
        <v>174</v>
      </c>
      <c r="BP51" s="319"/>
      <c r="BQ51" s="29"/>
      <c r="BR51" s="29"/>
      <c r="BS51" s="24"/>
      <c r="BT51" s="24"/>
      <c r="BU51" s="29"/>
      <c r="BV51" s="74" t="s">
        <v>174</v>
      </c>
      <c r="BW51" s="24"/>
      <c r="BX51" s="266" t="s">
        <v>679</v>
      </c>
      <c r="BY51" s="269" t="s">
        <v>747</v>
      </c>
    </row>
    <row r="52" spans="1:77" x14ac:dyDescent="0.15">
      <c r="A52" s="33">
        <v>4783</v>
      </c>
      <c r="B52" s="26">
        <v>43032</v>
      </c>
      <c r="C52" s="27" t="s">
        <v>377</v>
      </c>
      <c r="D52" s="68" t="s">
        <v>454</v>
      </c>
      <c r="E52" s="24"/>
      <c r="F52" s="68" t="s">
        <v>750</v>
      </c>
      <c r="G52" s="28">
        <v>42964</v>
      </c>
      <c r="H52" s="29" t="s">
        <v>175</v>
      </c>
      <c r="I52" s="29" t="s">
        <v>174</v>
      </c>
      <c r="J52" s="29"/>
      <c r="K52" s="24" t="s">
        <v>302</v>
      </c>
      <c r="L52" s="24" t="s">
        <v>521</v>
      </c>
      <c r="M52" s="320">
        <v>99.999999999999986</v>
      </c>
      <c r="N52" s="320">
        <v>36</v>
      </c>
      <c r="O52" s="24"/>
      <c r="P52" s="25"/>
      <c r="Q52" s="81"/>
      <c r="R52" s="25"/>
      <c r="S52" s="81"/>
      <c r="T52" s="25"/>
      <c r="U52" s="24"/>
      <c r="V52" s="81"/>
      <c r="W52" s="320">
        <v>18</v>
      </c>
      <c r="X52" s="24"/>
      <c r="Y52" s="24"/>
      <c r="Z52" s="24"/>
      <c r="AA52" s="24"/>
      <c r="AB52" s="24"/>
      <c r="AC52" s="24"/>
      <c r="AD52" s="24"/>
      <c r="AE52" s="81"/>
      <c r="AF52" s="81"/>
      <c r="AG52" s="25"/>
      <c r="AH52" s="24"/>
      <c r="AI52" s="320">
        <v>26.299999999999997</v>
      </c>
      <c r="AJ52" s="24"/>
      <c r="AK52" s="24"/>
      <c r="AL52" s="24"/>
      <c r="AM52" s="24"/>
      <c r="AN52" s="81"/>
      <c r="AO52" s="24"/>
      <c r="AP52" s="81"/>
      <c r="AQ52" s="68" t="s">
        <v>752</v>
      </c>
      <c r="AR52" s="29" t="s">
        <v>174</v>
      </c>
      <c r="AS52" s="29"/>
      <c r="AT52" s="29"/>
      <c r="AU52" s="29" t="s">
        <v>382</v>
      </c>
      <c r="AV52" s="29">
        <v>3</v>
      </c>
      <c r="AW52" s="29"/>
      <c r="AX52" s="29"/>
      <c r="AY52" s="29"/>
      <c r="AZ52" s="29" t="s">
        <v>361</v>
      </c>
      <c r="BA52" s="24"/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29" t="s">
        <v>174</v>
      </c>
      <c r="BN52" s="29"/>
      <c r="BO52" s="29" t="s">
        <v>174</v>
      </c>
      <c r="BP52" s="319"/>
      <c r="BQ52" s="29"/>
      <c r="BR52" s="29"/>
      <c r="BS52" s="24"/>
      <c r="BT52" s="24"/>
      <c r="BU52" s="29"/>
      <c r="BV52" s="29" t="s">
        <v>174</v>
      </c>
      <c r="BW52" s="24"/>
      <c r="BX52" s="66"/>
      <c r="BY52" s="67" t="s">
        <v>746</v>
      </c>
    </row>
    <row r="53" spans="1:77" x14ac:dyDescent="0.15">
      <c r="A53" s="33"/>
      <c r="B53" s="26">
        <v>43032</v>
      </c>
      <c r="C53" s="27" t="s">
        <v>377</v>
      </c>
      <c r="D53" s="68" t="s">
        <v>454</v>
      </c>
      <c r="E53" s="24"/>
      <c r="F53" s="68" t="s">
        <v>750</v>
      </c>
      <c r="G53" s="28">
        <v>42930</v>
      </c>
      <c r="H53" s="29" t="s">
        <v>175</v>
      </c>
      <c r="I53" s="29" t="s">
        <v>174</v>
      </c>
      <c r="J53" s="29"/>
      <c r="K53" s="24" t="s">
        <v>307</v>
      </c>
      <c r="L53" s="24" t="s">
        <v>327</v>
      </c>
      <c r="M53" s="320">
        <v>91.909090909090892</v>
      </c>
      <c r="N53" s="320">
        <v>45.909090909090907</v>
      </c>
      <c r="O53" s="68"/>
      <c r="P53" s="25"/>
      <c r="Q53" s="318"/>
      <c r="R53" s="25"/>
      <c r="S53" s="81"/>
      <c r="T53" s="25"/>
      <c r="U53" s="24"/>
      <c r="V53" s="81"/>
      <c r="W53" s="320">
        <v>23.881818181818179</v>
      </c>
      <c r="X53" s="24"/>
      <c r="Y53" s="24"/>
      <c r="Z53" s="24"/>
      <c r="AA53" s="24"/>
      <c r="AB53" s="24"/>
      <c r="AC53" s="24"/>
      <c r="AD53" s="24"/>
      <c r="AE53" s="81"/>
      <c r="AF53" s="81"/>
      <c r="AG53" s="24"/>
      <c r="AH53" s="24"/>
      <c r="AI53" s="320">
        <v>39.436363636363637</v>
      </c>
      <c r="AJ53" s="24"/>
      <c r="AK53" s="24"/>
      <c r="AL53" s="24"/>
      <c r="AM53" s="24"/>
      <c r="AN53" s="81"/>
      <c r="AO53" s="24"/>
      <c r="AP53" s="81"/>
      <c r="AQ53" s="68" t="s">
        <v>752</v>
      </c>
      <c r="AR53" s="29" t="s">
        <v>174</v>
      </c>
      <c r="AS53" s="29"/>
      <c r="AT53" s="29"/>
      <c r="AU53" s="29" t="s">
        <v>382</v>
      </c>
      <c r="AV53" s="29">
        <v>4.5</v>
      </c>
      <c r="AW53" s="29"/>
      <c r="AX53" s="29"/>
      <c r="AY53" s="29"/>
      <c r="AZ53" s="29" t="s">
        <v>174</v>
      </c>
      <c r="BA53" s="24"/>
      <c r="BB53" s="29">
        <v>18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/>
      <c r="BM53" s="29" t="s">
        <v>174</v>
      </c>
      <c r="BN53" s="29"/>
      <c r="BO53" s="29" t="s">
        <v>174</v>
      </c>
      <c r="BP53" s="319"/>
      <c r="BQ53" s="29"/>
      <c r="BR53" s="29"/>
      <c r="BS53" s="24"/>
      <c r="BT53" s="24"/>
      <c r="BU53" s="29"/>
      <c r="BV53" s="29" t="s">
        <v>174</v>
      </c>
      <c r="BW53" s="24"/>
      <c r="BY53" s="67" t="s">
        <v>730</v>
      </c>
    </row>
    <row r="54" spans="1:77" x14ac:dyDescent="0.15">
      <c r="A54" s="33">
        <v>6342</v>
      </c>
      <c r="B54" s="26">
        <v>43032</v>
      </c>
      <c r="C54" s="27" t="s">
        <v>377</v>
      </c>
      <c r="D54" s="68" t="s">
        <v>454</v>
      </c>
      <c r="E54" s="24"/>
      <c r="F54" s="68" t="s">
        <v>750</v>
      </c>
      <c r="G54" s="31">
        <v>43021</v>
      </c>
      <c r="H54" s="29" t="s">
        <v>175</v>
      </c>
      <c r="I54" s="29" t="s">
        <v>174</v>
      </c>
      <c r="J54" s="29"/>
      <c r="K54" s="24" t="s">
        <v>419</v>
      </c>
      <c r="L54" s="68" t="s">
        <v>721</v>
      </c>
      <c r="M54" s="320">
        <v>99.318181818181813</v>
      </c>
      <c r="N54" s="320">
        <v>29.127272727272725</v>
      </c>
      <c r="O54" s="24"/>
      <c r="P54" s="24"/>
      <c r="Q54" s="318"/>
      <c r="R54" s="24"/>
      <c r="S54" s="318"/>
      <c r="T54" s="24"/>
      <c r="U54" s="24"/>
      <c r="V54" s="81"/>
      <c r="W54" s="320">
        <v>12.1</v>
      </c>
      <c r="X54" s="24"/>
      <c r="Y54" s="24"/>
      <c r="Z54" s="24"/>
      <c r="AA54" s="24"/>
      <c r="AB54" s="24"/>
      <c r="AC54" s="24"/>
      <c r="AD54" s="24"/>
      <c r="AE54" s="81"/>
      <c r="AF54" s="81"/>
      <c r="AG54" s="24"/>
      <c r="AH54" s="24"/>
      <c r="AI54" s="320">
        <v>19.027272727272724</v>
      </c>
      <c r="AJ54" s="24"/>
      <c r="AK54" s="24"/>
      <c r="AL54" s="24"/>
      <c r="AM54" s="24"/>
      <c r="AN54" s="81"/>
      <c r="AO54" s="24"/>
      <c r="AP54" s="81"/>
      <c r="AQ54" s="68" t="s">
        <v>751</v>
      </c>
      <c r="AR54" s="29" t="s">
        <v>174</v>
      </c>
      <c r="AS54" s="29"/>
      <c r="AT54" s="29"/>
      <c r="AU54" s="29" t="s">
        <v>382</v>
      </c>
      <c r="AV54" s="29">
        <v>6.8</v>
      </c>
      <c r="AW54" s="29"/>
      <c r="AX54" s="29"/>
      <c r="AY54" s="29"/>
      <c r="AZ54" s="29" t="s">
        <v>174</v>
      </c>
      <c r="BA54" s="24"/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/>
      <c r="BM54" s="74" t="s">
        <v>174</v>
      </c>
      <c r="BN54" s="29"/>
      <c r="BO54" s="29" t="s">
        <v>174</v>
      </c>
      <c r="BP54" s="319"/>
      <c r="BQ54" s="29"/>
      <c r="BR54" s="29"/>
      <c r="BS54" s="30"/>
      <c r="BT54" s="30"/>
      <c r="BU54" s="29"/>
      <c r="BV54" s="29" t="s">
        <v>174</v>
      </c>
      <c r="BW54" s="24">
        <v>1</v>
      </c>
      <c r="BY54" s="67" t="s">
        <v>722</v>
      </c>
    </row>
    <row r="55" spans="1:77" x14ac:dyDescent="0.15">
      <c r="A55" s="33"/>
      <c r="B55" s="26">
        <v>43032</v>
      </c>
      <c r="C55" s="27" t="s">
        <v>377</v>
      </c>
      <c r="D55" s="68" t="s">
        <v>454</v>
      </c>
      <c r="E55" s="24"/>
      <c r="F55" s="68" t="s">
        <v>750</v>
      </c>
      <c r="G55" s="28">
        <v>43006</v>
      </c>
      <c r="H55" s="74" t="s">
        <v>175</v>
      </c>
      <c r="I55" s="74" t="s">
        <v>174</v>
      </c>
      <c r="J55" s="74"/>
      <c r="K55" s="68" t="s">
        <v>723</v>
      </c>
      <c r="L55" s="68" t="s">
        <v>724</v>
      </c>
      <c r="M55" s="320">
        <v>89.999999999999986</v>
      </c>
      <c r="N55" s="320">
        <v>31.818181818181817</v>
      </c>
      <c r="O55" s="24"/>
      <c r="P55" s="25"/>
      <c r="Q55" s="81"/>
      <c r="R55" s="25"/>
      <c r="S55" s="81"/>
      <c r="T55" s="25"/>
      <c r="U55" s="24"/>
      <c r="V55" s="81"/>
      <c r="W55" s="320">
        <v>24.59090909090909</v>
      </c>
      <c r="X55" s="25"/>
      <c r="Y55" s="24"/>
      <c r="Z55" s="25"/>
      <c r="AA55" s="24"/>
      <c r="AB55" s="25"/>
      <c r="AC55" s="24"/>
      <c r="AD55" s="24"/>
      <c r="AE55" s="81"/>
      <c r="AF55" s="81"/>
      <c r="AG55" s="25"/>
      <c r="AH55" s="24"/>
      <c r="AI55" s="320">
        <v>29.09090909090909</v>
      </c>
      <c r="AJ55" s="24"/>
      <c r="AK55" s="24"/>
      <c r="AL55" s="24"/>
      <c r="AM55" s="24"/>
      <c r="AN55" s="81"/>
      <c r="AO55" s="24"/>
      <c r="AP55" s="81"/>
      <c r="AQ55" s="68" t="s">
        <v>752</v>
      </c>
      <c r="AR55" s="29" t="s">
        <v>174</v>
      </c>
      <c r="AS55" s="29"/>
      <c r="AT55" s="29"/>
      <c r="AU55" s="29" t="s">
        <v>382</v>
      </c>
      <c r="AV55" s="29">
        <v>7</v>
      </c>
      <c r="AW55" s="29"/>
      <c r="AX55" s="29"/>
      <c r="AY55" s="29"/>
      <c r="AZ55" s="74" t="s">
        <v>174</v>
      </c>
      <c r="BA55" s="24"/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/>
      <c r="BM55" s="74" t="s">
        <v>174</v>
      </c>
      <c r="BN55" s="29"/>
      <c r="BO55" s="74" t="s">
        <v>174</v>
      </c>
      <c r="BP55" s="319"/>
      <c r="BQ55" s="29"/>
      <c r="BR55" s="29"/>
      <c r="BS55" s="24"/>
      <c r="BT55" s="24"/>
      <c r="BU55" s="29"/>
      <c r="BV55" s="74" t="s">
        <v>174</v>
      </c>
      <c r="BW55" s="24">
        <v>1</v>
      </c>
      <c r="BX55" s="308"/>
      <c r="BY55" s="269" t="s">
        <v>725</v>
      </c>
    </row>
    <row r="56" spans="1:77" x14ac:dyDescent="0.15">
      <c r="A56" s="33"/>
      <c r="B56" s="26">
        <v>43032</v>
      </c>
      <c r="C56" s="27" t="s">
        <v>377</v>
      </c>
      <c r="D56" s="68" t="s">
        <v>454</v>
      </c>
      <c r="E56" s="24"/>
      <c r="F56" s="68" t="s">
        <v>750</v>
      </c>
      <c r="G56" s="28">
        <v>42980</v>
      </c>
      <c r="H56" s="74" t="s">
        <v>175</v>
      </c>
      <c r="I56" s="74" t="s">
        <v>174</v>
      </c>
      <c r="J56" s="74"/>
      <c r="K56" s="68" t="s">
        <v>733</v>
      </c>
      <c r="L56" s="68" t="s">
        <v>734</v>
      </c>
      <c r="M56" s="320">
        <v>124.99999999999999</v>
      </c>
      <c r="N56" s="320">
        <v>39.5</v>
      </c>
      <c r="O56" s="24"/>
      <c r="P56" s="25"/>
      <c r="Q56" s="81"/>
      <c r="R56" s="25"/>
      <c r="S56" s="81"/>
      <c r="T56" s="25"/>
      <c r="U56" s="24"/>
      <c r="V56" s="81"/>
      <c r="W56" s="320">
        <v>23.999999999999996</v>
      </c>
      <c r="X56" s="25"/>
      <c r="Y56" s="24"/>
      <c r="Z56" s="25"/>
      <c r="AA56" s="24"/>
      <c r="AB56" s="25"/>
      <c r="AC56" s="24"/>
      <c r="AD56" s="24"/>
      <c r="AE56" s="81"/>
      <c r="AF56" s="81"/>
      <c r="AG56" s="25"/>
      <c r="AH56" s="24"/>
      <c r="AI56" s="320">
        <v>31</v>
      </c>
      <c r="AJ56" s="24"/>
      <c r="AK56" s="24"/>
      <c r="AL56" s="24"/>
      <c r="AM56" s="24"/>
      <c r="AN56" s="81"/>
      <c r="AO56" s="24"/>
      <c r="AP56" s="81"/>
      <c r="AQ56" s="68" t="s">
        <v>752</v>
      </c>
      <c r="AR56" s="29" t="s">
        <v>174</v>
      </c>
      <c r="AS56" s="29"/>
      <c r="AT56" s="29"/>
      <c r="AU56" s="29" t="s">
        <v>382</v>
      </c>
      <c r="AV56" s="29">
        <v>8</v>
      </c>
      <c r="AW56" s="29"/>
      <c r="AX56" s="29"/>
      <c r="AY56" s="29"/>
      <c r="AZ56" s="74" t="s">
        <v>174</v>
      </c>
      <c r="BA56" s="24"/>
      <c r="BB56" s="29">
        <v>0</v>
      </c>
      <c r="BC56" s="29">
        <v>0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/>
      <c r="BM56" s="74" t="s">
        <v>174</v>
      </c>
      <c r="BN56" s="29"/>
      <c r="BO56" s="74" t="s">
        <v>174</v>
      </c>
      <c r="BP56" s="319"/>
      <c r="BQ56" s="29"/>
      <c r="BR56" s="29"/>
      <c r="BS56" s="24"/>
      <c r="BT56" s="24"/>
      <c r="BU56" s="29"/>
      <c r="BV56" s="74" t="s">
        <v>174</v>
      </c>
      <c r="BW56" s="24">
        <v>1</v>
      </c>
      <c r="BX56" s="308"/>
      <c r="BY56" s="269" t="s">
        <v>735</v>
      </c>
    </row>
  </sheetData>
  <sheetProtection algorithmName="SHA-512" hashValue="PvqCJHjf9FeZUvEAz4fu3YPuPoNX7dbh50QXI9nqitrFo+GILdrKjBC/b3QQUYXuN/nkqB3ryLrrmnPVrr+Llw==" saltValue="9L+oeTmI7mGt+6Giamy2bg==" spinCount="100000" sheet="1" objects="1" scenarios="1"/>
  <phoneticPr fontId="2" type="noConversion"/>
  <hyperlinks>
    <hyperlink ref="BY16" r:id="rId1" display="https://www.energymadeeasy.gov.au/offer/1072864?postcode=5000" xr:uid="{B3917AF6-E7CF-1642-985D-07361FEC92A3}"/>
  </hyperlinks>
  <pageMargins left="0.75" right="0.75" top="1" bottom="1" header="0.5" footer="0.5"/>
  <pageSetup paperSize="9" orientation="portrait" horizontalDpi="0" verticalDpi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64F30-F793-6A4F-A49D-EF0AFBE07887}">
  <sheetPr codeName="Sheet21"/>
  <dimension ref="A1:BY59"/>
  <sheetViews>
    <sheetView zoomScaleNormal="100" zoomScalePageLayoutView="125" workbookViewId="0">
      <pane ySplit="1" topLeftCell="A6" activePane="bottomLeft" state="frozen"/>
      <selection activeCell="J29" sqref="J29"/>
      <selection pane="bottomLeft" activeCell="J29" sqref="J29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33">
        <v>4250</v>
      </c>
      <c r="B2" s="26">
        <v>42832</v>
      </c>
      <c r="C2" s="27" t="s">
        <v>377</v>
      </c>
      <c r="D2" s="68" t="s">
        <v>454</v>
      </c>
      <c r="E2" s="24"/>
      <c r="F2" s="24" t="s">
        <v>379</v>
      </c>
      <c r="G2" s="28">
        <v>42825</v>
      </c>
      <c r="H2" s="29" t="s">
        <v>175</v>
      </c>
      <c r="I2" s="29" t="s">
        <v>174</v>
      </c>
      <c r="J2" s="29"/>
      <c r="K2" s="24" t="s">
        <v>296</v>
      </c>
      <c r="L2" s="24" t="s">
        <v>510</v>
      </c>
      <c r="M2" s="81">
        <v>75.654545454545442</v>
      </c>
      <c r="N2" s="81">
        <v>30.7</v>
      </c>
      <c r="O2" s="24" t="s">
        <v>518</v>
      </c>
      <c r="P2" s="25">
        <v>5000</v>
      </c>
      <c r="Q2" s="81">
        <v>30.7</v>
      </c>
      <c r="R2" s="25"/>
      <c r="S2" s="81"/>
      <c r="T2" s="25"/>
      <c r="U2" s="24"/>
      <c r="V2" s="81"/>
      <c r="W2" s="81"/>
      <c r="X2" s="24"/>
      <c r="Y2" s="24"/>
      <c r="Z2" s="24"/>
      <c r="AA2" s="24"/>
      <c r="AB2" s="25"/>
      <c r="AC2" s="24"/>
      <c r="AD2" s="24"/>
      <c r="AE2" s="81"/>
      <c r="AF2" s="81"/>
      <c r="AG2" s="25"/>
      <c r="AH2" s="24"/>
      <c r="AI2" s="81"/>
      <c r="AJ2" s="24"/>
      <c r="AK2" s="24"/>
      <c r="AL2" s="24"/>
      <c r="AM2" s="24"/>
      <c r="AN2" s="81"/>
      <c r="AO2" s="24"/>
      <c r="AP2" s="81"/>
      <c r="AQ2" s="24" t="s">
        <v>381</v>
      </c>
      <c r="AR2" s="29" t="s">
        <v>174</v>
      </c>
      <c r="AS2" s="29"/>
      <c r="AT2" s="29"/>
      <c r="AU2" s="29" t="s">
        <v>382</v>
      </c>
      <c r="AV2" s="29">
        <v>8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>
        <v>12</v>
      </c>
      <c r="BO2" s="29" t="s">
        <v>174</v>
      </c>
      <c r="BP2" s="29"/>
      <c r="BQ2" s="29">
        <v>12</v>
      </c>
      <c r="BR2" s="29"/>
      <c r="BS2" s="30"/>
      <c r="BT2" s="30"/>
      <c r="BU2" s="29"/>
      <c r="BV2" s="29" t="s">
        <v>174</v>
      </c>
      <c r="BW2" s="24"/>
      <c r="BX2" s="66"/>
      <c r="BY2" s="67" t="s">
        <v>622</v>
      </c>
    </row>
    <row r="3" spans="1:77" x14ac:dyDescent="0.15">
      <c r="A3" s="33">
        <v>5549</v>
      </c>
      <c r="B3" s="26">
        <v>42832</v>
      </c>
      <c r="C3" s="27" t="s">
        <v>377</v>
      </c>
      <c r="D3" s="68" t="s">
        <v>454</v>
      </c>
      <c r="E3" s="24"/>
      <c r="F3" s="24" t="s">
        <v>379</v>
      </c>
      <c r="G3" s="31">
        <v>42689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 t="s">
        <v>518</v>
      </c>
      <c r="P3" s="25">
        <v>2500</v>
      </c>
      <c r="Q3" s="81">
        <v>33.972727272727269</v>
      </c>
      <c r="R3" s="25"/>
      <c r="S3" s="81"/>
      <c r="T3" s="25"/>
      <c r="U3" s="24"/>
      <c r="V3" s="81"/>
      <c r="W3" s="81"/>
      <c r="X3" s="24"/>
      <c r="Y3" s="24"/>
      <c r="Z3" s="24"/>
      <c r="AA3" s="24"/>
      <c r="AB3" s="24"/>
      <c r="AC3" s="24"/>
      <c r="AD3" s="24"/>
      <c r="AE3" s="81"/>
      <c r="AF3" s="81"/>
      <c r="AG3" s="25"/>
      <c r="AH3" s="24"/>
      <c r="AI3" s="81"/>
      <c r="AJ3" s="24"/>
      <c r="AK3" s="24"/>
      <c r="AL3" s="24"/>
      <c r="AM3" s="24"/>
      <c r="AN3" s="81"/>
      <c r="AO3" s="24"/>
      <c r="AP3" s="81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9"/>
      <c r="BS3" s="24"/>
      <c r="BT3" s="24"/>
      <c r="BU3" s="29"/>
      <c r="BV3" s="29" t="s">
        <v>174</v>
      </c>
      <c r="BW3" s="68">
        <v>1</v>
      </c>
      <c r="BX3" s="66"/>
      <c r="BY3" s="67" t="s">
        <v>623</v>
      </c>
    </row>
    <row r="4" spans="1:77" x14ac:dyDescent="0.15">
      <c r="A4" s="33">
        <v>5770</v>
      </c>
      <c r="B4" s="26">
        <v>42832</v>
      </c>
      <c r="C4" s="27" t="s">
        <v>377</v>
      </c>
      <c r="D4" s="68" t="s">
        <v>454</v>
      </c>
      <c r="E4" s="24"/>
      <c r="F4" s="24" t="s">
        <v>379</v>
      </c>
      <c r="G4" s="28">
        <v>42643</v>
      </c>
      <c r="H4" s="29" t="s">
        <v>175</v>
      </c>
      <c r="I4" s="29" t="s">
        <v>174</v>
      </c>
      <c r="J4" s="29"/>
      <c r="K4" s="24" t="s">
        <v>300</v>
      </c>
      <c r="L4" s="24" t="s">
        <v>517</v>
      </c>
      <c r="M4" s="81">
        <v>99.5</v>
      </c>
      <c r="N4" s="81">
        <v>37.554545454545455</v>
      </c>
      <c r="O4" s="24" t="s">
        <v>518</v>
      </c>
      <c r="P4" s="25">
        <v>1000</v>
      </c>
      <c r="Q4" s="81">
        <v>39.954545454545453</v>
      </c>
      <c r="R4" s="25"/>
      <c r="S4" s="81"/>
      <c r="T4" s="25"/>
      <c r="U4" s="24"/>
      <c r="V4" s="81"/>
      <c r="W4" s="81"/>
      <c r="X4" s="24"/>
      <c r="Y4" s="24"/>
      <c r="Z4" s="24"/>
      <c r="AA4" s="24"/>
      <c r="AB4" s="24"/>
      <c r="AC4" s="24"/>
      <c r="AD4" s="24"/>
      <c r="AE4" s="81"/>
      <c r="AF4" s="81"/>
      <c r="AG4" s="25"/>
      <c r="AH4" s="24"/>
      <c r="AI4" s="81"/>
      <c r="AJ4" s="24"/>
      <c r="AK4" s="24"/>
      <c r="AL4" s="24"/>
      <c r="AM4" s="24"/>
      <c r="AN4" s="81"/>
      <c r="AO4" s="24"/>
      <c r="AP4" s="81"/>
      <c r="AQ4" s="24" t="s">
        <v>381</v>
      </c>
      <c r="AR4" s="29" t="s">
        <v>174</v>
      </c>
      <c r="AS4" s="29"/>
      <c r="AT4" s="29"/>
      <c r="AU4" s="29" t="s">
        <v>382</v>
      </c>
      <c r="AV4" s="29">
        <v>10.199999999999999</v>
      </c>
      <c r="AW4" s="29"/>
      <c r="AX4" s="29"/>
      <c r="AY4" s="29"/>
      <c r="AZ4" s="29" t="s">
        <v>361</v>
      </c>
      <c r="BA4" s="24"/>
      <c r="BB4" s="29">
        <v>0</v>
      </c>
      <c r="BC4" s="29">
        <v>0</v>
      </c>
      <c r="BD4" s="29">
        <v>7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9"/>
      <c r="BS4" s="24"/>
      <c r="BT4" s="24"/>
      <c r="BU4" s="29"/>
      <c r="BV4" s="29" t="s">
        <v>174</v>
      </c>
      <c r="BW4" s="24"/>
      <c r="BY4" s="32" t="s">
        <v>627</v>
      </c>
    </row>
    <row r="5" spans="1:77" x14ac:dyDescent="0.15">
      <c r="A5" s="33">
        <v>5268</v>
      </c>
      <c r="B5" s="26">
        <v>42832</v>
      </c>
      <c r="C5" s="27" t="s">
        <v>377</v>
      </c>
      <c r="D5" s="68" t="s">
        <v>454</v>
      </c>
      <c r="E5" s="24"/>
      <c r="F5" s="24" t="s">
        <v>379</v>
      </c>
      <c r="G5" s="28">
        <v>42735</v>
      </c>
      <c r="H5" s="29" t="s">
        <v>175</v>
      </c>
      <c r="I5" s="29" t="s">
        <v>174</v>
      </c>
      <c r="J5" s="29"/>
      <c r="K5" s="24" t="s">
        <v>301</v>
      </c>
      <c r="L5" s="24" t="s">
        <v>520</v>
      </c>
      <c r="M5" s="81">
        <v>97.999999999999986</v>
      </c>
      <c r="N5" s="81">
        <v>35.963636363636361</v>
      </c>
      <c r="O5" s="24"/>
      <c r="P5" s="25"/>
      <c r="Q5" s="81"/>
      <c r="R5" s="25"/>
      <c r="S5" s="81"/>
      <c r="T5" s="25"/>
      <c r="U5" s="24"/>
      <c r="V5" s="81"/>
      <c r="W5" s="81"/>
      <c r="X5" s="25"/>
      <c r="Y5" s="24"/>
      <c r="Z5" s="25"/>
      <c r="AA5" s="24"/>
      <c r="AB5" s="25"/>
      <c r="AC5" s="24"/>
      <c r="AD5" s="24"/>
      <c r="AE5" s="81"/>
      <c r="AF5" s="81"/>
      <c r="AG5" s="25"/>
      <c r="AH5" s="24"/>
      <c r="AI5" s="81"/>
      <c r="AJ5" s="24"/>
      <c r="AK5" s="24"/>
      <c r="AL5" s="24"/>
      <c r="AM5" s="24"/>
      <c r="AN5" s="81"/>
      <c r="AO5" s="24"/>
      <c r="AP5" s="81"/>
      <c r="AQ5" s="24" t="s">
        <v>381</v>
      </c>
      <c r="AR5" s="29" t="s">
        <v>174</v>
      </c>
      <c r="AS5" s="29"/>
      <c r="AT5" s="29"/>
      <c r="AU5" s="29" t="s">
        <v>382</v>
      </c>
      <c r="AV5" s="29">
        <v>11.55</v>
      </c>
      <c r="AW5" s="29"/>
      <c r="AX5" s="29"/>
      <c r="AY5" s="29"/>
      <c r="AZ5" s="29" t="s">
        <v>361</v>
      </c>
      <c r="BA5" s="24"/>
      <c r="BB5" s="29">
        <v>3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>
        <v>12</v>
      </c>
      <c r="BO5" s="29" t="s">
        <v>174</v>
      </c>
      <c r="BP5" s="29"/>
      <c r="BQ5" s="29">
        <v>12</v>
      </c>
      <c r="BR5" s="29"/>
      <c r="BS5" s="24"/>
      <c r="BT5" s="24"/>
      <c r="BU5" s="29"/>
      <c r="BV5" s="29" t="s">
        <v>174</v>
      </c>
      <c r="BW5" s="24">
        <v>1</v>
      </c>
      <c r="BX5" s="66"/>
      <c r="BY5" s="67" t="s">
        <v>628</v>
      </c>
    </row>
    <row r="6" spans="1:77" x14ac:dyDescent="0.15">
      <c r="A6" s="33">
        <v>4783</v>
      </c>
      <c r="B6" s="26">
        <v>42832</v>
      </c>
      <c r="C6" s="27" t="s">
        <v>377</v>
      </c>
      <c r="D6" s="68" t="s">
        <v>454</v>
      </c>
      <c r="E6" s="24"/>
      <c r="F6" s="24" t="s">
        <v>379</v>
      </c>
      <c r="G6" s="28">
        <v>42789</v>
      </c>
      <c r="H6" s="29" t="s">
        <v>175</v>
      </c>
      <c r="I6" s="29" t="s">
        <v>174</v>
      </c>
      <c r="J6" s="29"/>
      <c r="K6" s="24" t="s">
        <v>302</v>
      </c>
      <c r="L6" s="24" t="s">
        <v>521</v>
      </c>
      <c r="M6" s="81">
        <v>86.018181818181816</v>
      </c>
      <c r="N6" s="81">
        <v>33.890909090909091</v>
      </c>
      <c r="O6" s="24"/>
      <c r="P6" s="25"/>
      <c r="Q6" s="81"/>
      <c r="R6" s="25"/>
      <c r="S6" s="81"/>
      <c r="T6" s="25"/>
      <c r="U6" s="24"/>
      <c r="V6" s="81"/>
      <c r="W6" s="81"/>
      <c r="X6" s="24"/>
      <c r="Y6" s="24"/>
      <c r="Z6" s="24"/>
      <c r="AA6" s="24"/>
      <c r="AB6" s="24"/>
      <c r="AC6" s="24"/>
      <c r="AD6" s="24"/>
      <c r="AE6" s="81"/>
      <c r="AF6" s="81"/>
      <c r="AG6" s="25"/>
      <c r="AH6" s="24"/>
      <c r="AI6" s="81"/>
      <c r="AJ6" s="24"/>
      <c r="AK6" s="24"/>
      <c r="AL6" s="24"/>
      <c r="AM6" s="24"/>
      <c r="AN6" s="81"/>
      <c r="AO6" s="24"/>
      <c r="AP6" s="81"/>
      <c r="AQ6" s="24" t="s">
        <v>381</v>
      </c>
      <c r="AR6" s="29" t="s">
        <v>174</v>
      </c>
      <c r="AS6" s="29"/>
      <c r="AT6" s="29"/>
      <c r="AU6" s="29" t="s">
        <v>382</v>
      </c>
      <c r="AV6" s="29">
        <v>12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9"/>
      <c r="BS6" s="24"/>
      <c r="BT6" s="24"/>
      <c r="BU6" s="29"/>
      <c r="BV6" s="29" t="s">
        <v>174</v>
      </c>
      <c r="BW6" s="24"/>
      <c r="BX6" s="66"/>
      <c r="BY6" s="67" t="s">
        <v>697</v>
      </c>
    </row>
    <row r="7" spans="1:77" x14ac:dyDescent="0.15">
      <c r="A7" s="33">
        <v>931</v>
      </c>
      <c r="B7" s="26">
        <v>42832</v>
      </c>
      <c r="C7" s="27" t="s">
        <v>377</v>
      </c>
      <c r="D7" s="68" t="s">
        <v>454</v>
      </c>
      <c r="E7" s="24"/>
      <c r="F7" s="24" t="s">
        <v>379</v>
      </c>
      <c r="G7" s="28">
        <v>42634</v>
      </c>
      <c r="H7" s="29" t="s">
        <v>175</v>
      </c>
      <c r="I7" s="29" t="s">
        <v>174</v>
      </c>
      <c r="J7" s="29"/>
      <c r="K7" s="24" t="s">
        <v>303</v>
      </c>
      <c r="L7" s="24" t="s">
        <v>522</v>
      </c>
      <c r="M7" s="81">
        <v>121.99999999999999</v>
      </c>
      <c r="N7" s="81">
        <v>31.927272727272722</v>
      </c>
      <c r="O7" s="24"/>
      <c r="P7" s="25"/>
      <c r="Q7" s="81"/>
      <c r="R7" s="25"/>
      <c r="S7" s="81"/>
      <c r="T7" s="24"/>
      <c r="U7" s="24"/>
      <c r="V7" s="81"/>
      <c r="W7" s="81"/>
      <c r="X7" s="24"/>
      <c r="Y7" s="24"/>
      <c r="Z7" s="24"/>
      <c r="AA7" s="24"/>
      <c r="AB7" s="24"/>
      <c r="AC7" s="24"/>
      <c r="AD7" s="24"/>
      <c r="AE7" s="81"/>
      <c r="AF7" s="81"/>
      <c r="AG7" s="25"/>
      <c r="AH7" s="24"/>
      <c r="AI7" s="81"/>
      <c r="AJ7" s="24"/>
      <c r="AK7" s="24"/>
      <c r="AL7" s="24"/>
      <c r="AM7" s="24"/>
      <c r="AN7" s="81"/>
      <c r="AO7" s="24"/>
      <c r="AP7" s="81"/>
      <c r="AQ7" s="24" t="s">
        <v>381</v>
      </c>
      <c r="AR7" s="29" t="s">
        <v>174</v>
      </c>
      <c r="AS7" s="29"/>
      <c r="AT7" s="29"/>
      <c r="AU7" s="29" t="s">
        <v>382</v>
      </c>
      <c r="AV7" s="29">
        <v>6.8</v>
      </c>
      <c r="AW7" s="29"/>
      <c r="AX7" s="29"/>
      <c r="AY7" s="29"/>
      <c r="AZ7" s="29" t="s">
        <v>361</v>
      </c>
      <c r="BA7" s="24"/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/>
      <c r="BO7" s="29" t="s">
        <v>174</v>
      </c>
      <c r="BP7" s="29"/>
      <c r="BQ7" s="29"/>
      <c r="BR7" s="29"/>
      <c r="BS7" s="24"/>
      <c r="BT7" s="24"/>
      <c r="BU7" s="29"/>
      <c r="BV7" s="29" t="s">
        <v>174</v>
      </c>
      <c r="BW7" s="24"/>
      <c r="BY7" s="32" t="s">
        <v>629</v>
      </c>
    </row>
    <row r="8" spans="1:77" x14ac:dyDescent="0.15">
      <c r="A8" s="33">
        <v>5408</v>
      </c>
      <c r="B8" s="26">
        <v>42832</v>
      </c>
      <c r="C8" s="27" t="s">
        <v>377</v>
      </c>
      <c r="D8" s="68" t="s">
        <v>454</v>
      </c>
      <c r="E8" s="24"/>
      <c r="F8" s="24" t="s">
        <v>379</v>
      </c>
      <c r="G8" s="28">
        <v>42735</v>
      </c>
      <c r="H8" s="29" t="s">
        <v>175</v>
      </c>
      <c r="I8" s="29" t="s">
        <v>174</v>
      </c>
      <c r="J8" s="29"/>
      <c r="K8" s="24" t="s">
        <v>304</v>
      </c>
      <c r="L8" s="24" t="s">
        <v>523</v>
      </c>
      <c r="M8" s="81">
        <v>82.054545454545448</v>
      </c>
      <c r="N8" s="81">
        <v>36.25454545454545</v>
      </c>
      <c r="O8" s="24"/>
      <c r="P8" s="25"/>
      <c r="Q8" s="81"/>
      <c r="R8" s="25"/>
      <c r="S8" s="81"/>
      <c r="T8" s="25"/>
      <c r="U8" s="24"/>
      <c r="V8" s="81"/>
      <c r="W8" s="81"/>
      <c r="X8" s="24"/>
      <c r="Y8" s="24"/>
      <c r="Z8" s="25"/>
      <c r="AA8" s="24"/>
      <c r="AB8" s="25"/>
      <c r="AC8" s="24"/>
      <c r="AD8" s="24"/>
      <c r="AE8" s="81"/>
      <c r="AF8" s="81"/>
      <c r="AG8" s="25"/>
      <c r="AH8" s="24"/>
      <c r="AI8" s="81"/>
      <c r="AJ8" s="24"/>
      <c r="AK8" s="24"/>
      <c r="AL8" s="24"/>
      <c r="AM8" s="24"/>
      <c r="AN8" s="81"/>
      <c r="AO8" s="24"/>
      <c r="AP8" s="81"/>
      <c r="AQ8" s="24" t="s">
        <v>381</v>
      </c>
      <c r="AR8" s="29" t="s">
        <v>174</v>
      </c>
      <c r="AS8" s="29"/>
      <c r="AT8" s="29"/>
      <c r="AU8" s="29" t="s">
        <v>382</v>
      </c>
      <c r="AV8" s="29">
        <v>8</v>
      </c>
      <c r="AW8" s="29"/>
      <c r="AX8" s="29"/>
      <c r="AY8" s="29"/>
      <c r="AZ8" s="29" t="s">
        <v>361</v>
      </c>
      <c r="BA8" s="24"/>
      <c r="BB8" s="29">
        <v>0</v>
      </c>
      <c r="BC8" s="29">
        <v>15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>
        <v>12</v>
      </c>
      <c r="BO8" s="29" t="s">
        <v>174</v>
      </c>
      <c r="BP8" s="29"/>
      <c r="BQ8" s="29"/>
      <c r="BR8" s="29"/>
      <c r="BS8" s="24"/>
      <c r="BT8" s="24"/>
      <c r="BU8" s="29"/>
      <c r="BV8" s="29" t="s">
        <v>174</v>
      </c>
      <c r="BW8" s="24"/>
      <c r="BX8" s="66"/>
      <c r="BY8" s="67" t="s">
        <v>700</v>
      </c>
    </row>
    <row r="9" spans="1:77" x14ac:dyDescent="0.15">
      <c r="A9" s="33"/>
      <c r="B9" s="26">
        <v>42832</v>
      </c>
      <c r="C9" s="27" t="s">
        <v>377</v>
      </c>
      <c r="D9" s="68" t="s">
        <v>454</v>
      </c>
      <c r="E9" s="24"/>
      <c r="F9" s="24" t="s">
        <v>379</v>
      </c>
      <c r="G9" s="28">
        <v>42825</v>
      </c>
      <c r="H9" s="29" t="s">
        <v>175</v>
      </c>
      <c r="I9" s="29" t="s">
        <v>174</v>
      </c>
      <c r="J9" s="29"/>
      <c r="K9" s="24" t="s">
        <v>305</v>
      </c>
      <c r="L9" s="24" t="s">
        <v>631</v>
      </c>
      <c r="M9" s="81">
        <v>77.427272727272722</v>
      </c>
      <c r="N9" s="81">
        <v>31.418181818181818</v>
      </c>
      <c r="O9" s="24"/>
      <c r="P9" s="25"/>
      <c r="Q9" s="81"/>
      <c r="R9" s="25"/>
      <c r="S9" s="81"/>
      <c r="T9" s="25"/>
      <c r="U9" s="24"/>
      <c r="V9" s="81"/>
      <c r="W9" s="81"/>
      <c r="X9" s="24"/>
      <c r="Y9" s="24"/>
      <c r="Z9" s="25"/>
      <c r="AA9" s="24"/>
      <c r="AB9" s="25"/>
      <c r="AC9" s="24"/>
      <c r="AD9" s="24"/>
      <c r="AE9" s="81"/>
      <c r="AF9" s="81"/>
      <c r="AG9" s="25"/>
      <c r="AH9" s="24"/>
      <c r="AI9" s="81"/>
      <c r="AJ9" s="24"/>
      <c r="AK9" s="24"/>
      <c r="AL9" s="24"/>
      <c r="AM9" s="24"/>
      <c r="AN9" s="81"/>
      <c r="AO9" s="24"/>
      <c r="AP9" s="81"/>
      <c r="AQ9" s="24" t="s">
        <v>381</v>
      </c>
      <c r="AR9" s="29" t="s">
        <v>174</v>
      </c>
      <c r="AS9" s="29"/>
      <c r="AT9" s="29"/>
      <c r="AU9" s="29" t="s">
        <v>382</v>
      </c>
      <c r="AV9" s="29">
        <v>8</v>
      </c>
      <c r="AW9" s="29"/>
      <c r="AX9" s="29"/>
      <c r="AY9" s="29"/>
      <c r="AZ9" s="29" t="s">
        <v>361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>
        <v>12</v>
      </c>
      <c r="BO9" s="29" t="s">
        <v>174</v>
      </c>
      <c r="BP9" s="29"/>
      <c r="BQ9" s="29">
        <v>12</v>
      </c>
      <c r="BR9" s="29"/>
      <c r="BS9" s="24"/>
      <c r="BT9" s="24"/>
      <c r="BU9" s="29"/>
      <c r="BV9" s="29" t="s">
        <v>174</v>
      </c>
      <c r="BW9" s="30"/>
      <c r="BX9" s="66"/>
      <c r="BY9" s="67" t="s">
        <v>76</v>
      </c>
    </row>
    <row r="10" spans="1:77" x14ac:dyDescent="0.15">
      <c r="A10" s="33">
        <v>5942</v>
      </c>
      <c r="B10" s="26">
        <v>42832</v>
      </c>
      <c r="C10" s="27" t="s">
        <v>377</v>
      </c>
      <c r="D10" s="68" t="s">
        <v>454</v>
      </c>
      <c r="E10" s="24"/>
      <c r="F10" s="24" t="s">
        <v>379</v>
      </c>
      <c r="G10" s="28">
        <v>42606</v>
      </c>
      <c r="H10" s="29" t="s">
        <v>175</v>
      </c>
      <c r="I10" s="29" t="s">
        <v>174</v>
      </c>
      <c r="J10" s="29"/>
      <c r="K10" s="24" t="s">
        <v>306</v>
      </c>
      <c r="L10" s="24" t="s">
        <v>525</v>
      </c>
      <c r="M10" s="81">
        <v>87.1</v>
      </c>
      <c r="N10" s="81">
        <v>35.099999999999994</v>
      </c>
      <c r="O10" s="24"/>
      <c r="P10" s="25"/>
      <c r="Q10" s="81"/>
      <c r="R10" s="25"/>
      <c r="S10" s="81"/>
      <c r="T10" s="24"/>
      <c r="U10" s="24"/>
      <c r="V10" s="81"/>
      <c r="W10" s="81"/>
      <c r="X10" s="24"/>
      <c r="Y10" s="24"/>
      <c r="Z10" s="24"/>
      <c r="AA10" s="24"/>
      <c r="AB10" s="24"/>
      <c r="AC10" s="24"/>
      <c r="AD10" s="24"/>
      <c r="AE10" s="81"/>
      <c r="AF10" s="81"/>
      <c r="AG10" s="25"/>
      <c r="AH10" s="24"/>
      <c r="AI10" s="81"/>
      <c r="AJ10" s="24"/>
      <c r="AK10" s="24"/>
      <c r="AL10" s="24"/>
      <c r="AM10" s="24"/>
      <c r="AN10" s="81"/>
      <c r="AO10" s="24"/>
      <c r="AP10" s="81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11.5</v>
      </c>
      <c r="AW10" s="29"/>
      <c r="AX10" s="29"/>
      <c r="AY10" s="29"/>
      <c r="AZ10" s="29" t="s">
        <v>361</v>
      </c>
      <c r="BA10" s="24"/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/>
      <c r="BM10" s="29" t="s">
        <v>174</v>
      </c>
      <c r="BN10" s="29"/>
      <c r="BO10" s="29" t="s">
        <v>174</v>
      </c>
      <c r="BP10" s="29"/>
      <c r="BQ10" s="29"/>
      <c r="BR10" s="283"/>
      <c r="BS10" s="30"/>
      <c r="BT10" s="30"/>
      <c r="BU10" s="29"/>
      <c r="BV10" s="29" t="s">
        <v>174</v>
      </c>
      <c r="BW10" s="24"/>
      <c r="BY10" s="32" t="s">
        <v>588</v>
      </c>
    </row>
    <row r="11" spans="1:77" x14ac:dyDescent="0.15">
      <c r="A11" s="33"/>
      <c r="B11" s="26">
        <v>42832</v>
      </c>
      <c r="C11" s="27" t="s">
        <v>377</v>
      </c>
      <c r="D11" s="68" t="s">
        <v>454</v>
      </c>
      <c r="E11" s="24"/>
      <c r="F11" s="24" t="s">
        <v>379</v>
      </c>
      <c r="G11" s="28">
        <v>42647</v>
      </c>
      <c r="H11" s="29" t="s">
        <v>175</v>
      </c>
      <c r="I11" s="29" t="s">
        <v>174</v>
      </c>
      <c r="J11" s="29"/>
      <c r="K11" s="24" t="s">
        <v>307</v>
      </c>
      <c r="L11" s="24" t="s">
        <v>327</v>
      </c>
      <c r="M11" s="81">
        <v>92.054545454545448</v>
      </c>
      <c r="N11" s="81">
        <v>36.072727272727271</v>
      </c>
      <c r="O11" s="24"/>
      <c r="P11" s="25"/>
      <c r="Q11" s="81"/>
      <c r="R11" s="25"/>
      <c r="S11" s="81"/>
      <c r="T11" s="25"/>
      <c r="U11" s="24"/>
      <c r="V11" s="81"/>
      <c r="W11" s="81"/>
      <c r="X11" s="24"/>
      <c r="Y11" s="24"/>
      <c r="Z11" s="24"/>
      <c r="AA11" s="24"/>
      <c r="AB11" s="24"/>
      <c r="AC11" s="24"/>
      <c r="AD11" s="24"/>
      <c r="AE11" s="81"/>
      <c r="AF11" s="81"/>
      <c r="AG11" s="24"/>
      <c r="AH11" s="24"/>
      <c r="AI11" s="81"/>
      <c r="AJ11" s="24"/>
      <c r="AK11" s="24"/>
      <c r="AL11" s="24"/>
      <c r="AM11" s="24"/>
      <c r="AN11" s="81"/>
      <c r="AO11" s="24"/>
      <c r="AP11" s="81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10</v>
      </c>
      <c r="AW11" s="29"/>
      <c r="AX11" s="29"/>
      <c r="AY11" s="29"/>
      <c r="AZ11" s="29" t="s">
        <v>174</v>
      </c>
      <c r="BA11" s="24"/>
      <c r="BB11" s="29">
        <v>11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/>
      <c r="BO11" s="29" t="s">
        <v>174</v>
      </c>
      <c r="BP11" s="29"/>
      <c r="BQ11" s="29"/>
      <c r="BR11" s="29"/>
      <c r="BS11" s="24"/>
      <c r="BT11" s="24"/>
      <c r="BU11" s="29"/>
      <c r="BV11" s="29" t="s">
        <v>174</v>
      </c>
      <c r="BW11" s="24"/>
      <c r="BY11" s="67" t="s">
        <v>632</v>
      </c>
    </row>
    <row r="12" spans="1:77" x14ac:dyDescent="0.15">
      <c r="A12" s="33">
        <v>6342</v>
      </c>
      <c r="B12" s="26">
        <v>42832</v>
      </c>
      <c r="C12" s="27" t="s">
        <v>377</v>
      </c>
      <c r="D12" s="68" t="s">
        <v>454</v>
      </c>
      <c r="E12" s="24"/>
      <c r="F12" s="24" t="s">
        <v>379</v>
      </c>
      <c r="G12" s="31">
        <v>42635</v>
      </c>
      <c r="H12" s="29" t="s">
        <v>175</v>
      </c>
      <c r="I12" s="29" t="s">
        <v>174</v>
      </c>
      <c r="J12" s="29"/>
      <c r="K12" s="24" t="s">
        <v>419</v>
      </c>
      <c r="L12" s="24" t="s">
        <v>633</v>
      </c>
      <c r="M12" s="91">
        <v>95.654545454545442</v>
      </c>
      <c r="N12" s="81">
        <v>27.290909090909089</v>
      </c>
      <c r="O12" s="24" t="s">
        <v>518</v>
      </c>
      <c r="P12" s="24">
        <v>2500</v>
      </c>
      <c r="Q12" s="81">
        <v>27.909090909090907</v>
      </c>
      <c r="R12" s="24">
        <v>10000</v>
      </c>
      <c r="S12" s="81">
        <v>27.9</v>
      </c>
      <c r="T12" s="24"/>
      <c r="U12" s="24"/>
      <c r="V12" s="81"/>
      <c r="W12" s="81"/>
      <c r="X12" s="24"/>
      <c r="Y12" s="24"/>
      <c r="Z12" s="24"/>
      <c r="AA12" s="24"/>
      <c r="AB12" s="24"/>
      <c r="AC12" s="24"/>
      <c r="AD12" s="24"/>
      <c r="AE12" s="81"/>
      <c r="AF12" s="81"/>
      <c r="AG12" s="24"/>
      <c r="AH12" s="24"/>
      <c r="AI12" s="91"/>
      <c r="AJ12" s="24"/>
      <c r="AK12" s="24"/>
      <c r="AL12" s="24"/>
      <c r="AM12" s="24"/>
      <c r="AN12" s="81"/>
      <c r="AO12" s="24"/>
      <c r="AP12" s="81"/>
      <c r="AQ12" t="s">
        <v>381</v>
      </c>
      <c r="AR12" s="29" t="s">
        <v>174</v>
      </c>
      <c r="AS12" s="29"/>
      <c r="AT12" s="29"/>
      <c r="AU12" s="29" t="s">
        <v>382</v>
      </c>
      <c r="AV12" s="29">
        <v>6.8</v>
      </c>
      <c r="AW12" s="29"/>
      <c r="AX12" s="29"/>
      <c r="AY12" s="29"/>
      <c r="AZ12" s="29" t="s">
        <v>174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74" t="s">
        <v>174</v>
      </c>
      <c r="BN12" s="29"/>
      <c r="BO12" s="29" t="s">
        <v>174</v>
      </c>
      <c r="BP12" s="29"/>
      <c r="BQ12" s="29"/>
      <c r="BR12" s="29"/>
      <c r="BS12" s="30"/>
      <c r="BT12" s="30"/>
      <c r="BU12" s="29"/>
      <c r="BV12" s="29" t="s">
        <v>174</v>
      </c>
      <c r="BW12" s="24">
        <v>1</v>
      </c>
      <c r="BY12" s="67" t="s">
        <v>675</v>
      </c>
    </row>
    <row r="13" spans="1:77" x14ac:dyDescent="0.15">
      <c r="A13" s="33">
        <v>5633</v>
      </c>
      <c r="B13" s="26">
        <v>42832</v>
      </c>
      <c r="C13" s="27" t="s">
        <v>377</v>
      </c>
      <c r="D13" s="68" t="s">
        <v>454</v>
      </c>
      <c r="E13" s="24"/>
      <c r="F13" s="24" t="s">
        <v>379</v>
      </c>
      <c r="G13" s="31">
        <v>42551</v>
      </c>
      <c r="H13" s="74" t="s">
        <v>175</v>
      </c>
      <c r="I13" s="74" t="s">
        <v>174</v>
      </c>
      <c r="J13" s="29"/>
      <c r="K13" s="24" t="s">
        <v>495</v>
      </c>
      <c r="L13" s="68" t="s">
        <v>529</v>
      </c>
      <c r="M13" s="81">
        <v>120.68181818181817</v>
      </c>
      <c r="N13" s="81">
        <v>33.790909090909089</v>
      </c>
      <c r="O13" s="24"/>
      <c r="P13" s="25"/>
      <c r="Q13" s="81"/>
      <c r="R13" s="25"/>
      <c r="S13" s="81"/>
      <c r="T13" s="24"/>
      <c r="U13" s="24"/>
      <c r="V13" s="81"/>
      <c r="W13" s="81"/>
      <c r="X13" s="24"/>
      <c r="Y13" s="24"/>
      <c r="Z13" s="24"/>
      <c r="AA13" s="24"/>
      <c r="AB13" s="24"/>
      <c r="AC13" s="24"/>
      <c r="AD13" s="24"/>
      <c r="AE13" s="81"/>
      <c r="AF13" s="81"/>
      <c r="AG13" s="25"/>
      <c r="AH13" s="24"/>
      <c r="AI13" s="81"/>
      <c r="AJ13" s="24"/>
      <c r="AK13" s="24"/>
      <c r="AL13" s="24"/>
      <c r="AM13" s="24"/>
      <c r="AN13" s="81"/>
      <c r="AO13" s="24"/>
      <c r="AP13" s="81"/>
      <c r="AQ13" s="24" t="s">
        <v>381</v>
      </c>
      <c r="AR13" s="29" t="s">
        <v>174</v>
      </c>
      <c r="AS13" s="29"/>
      <c r="AT13" s="29"/>
      <c r="AU13" s="74" t="s">
        <v>382</v>
      </c>
      <c r="AV13" s="29">
        <v>7.5</v>
      </c>
      <c r="AW13" s="29"/>
      <c r="AX13" s="29"/>
      <c r="AY13" s="29"/>
      <c r="AZ13" s="29" t="s">
        <v>361</v>
      </c>
      <c r="BA13" s="24"/>
      <c r="BB13" s="29">
        <v>0</v>
      </c>
      <c r="BC13" s="29">
        <v>0</v>
      </c>
      <c r="BD13" s="29">
        <v>6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/>
      <c r="BO13" s="29" t="s">
        <v>174</v>
      </c>
      <c r="BP13" s="29"/>
      <c r="BQ13" s="29"/>
      <c r="BR13" s="29"/>
      <c r="BS13" s="30"/>
      <c r="BT13" s="30"/>
      <c r="BU13" s="29"/>
      <c r="BV13" s="29" t="s">
        <v>174</v>
      </c>
      <c r="BW13" s="24">
        <v>1</v>
      </c>
      <c r="BY13" s="32" t="s">
        <v>591</v>
      </c>
    </row>
    <row r="14" spans="1:77" x14ac:dyDescent="0.15">
      <c r="A14" s="33"/>
      <c r="B14" s="26">
        <v>42832</v>
      </c>
      <c r="C14" s="27" t="s">
        <v>377</v>
      </c>
      <c r="D14" s="68" t="s">
        <v>454</v>
      </c>
      <c r="E14" s="24"/>
      <c r="F14" s="24" t="s">
        <v>379</v>
      </c>
      <c r="G14" s="28">
        <v>42565</v>
      </c>
      <c r="H14" s="29" t="s">
        <v>174</v>
      </c>
      <c r="I14" s="29" t="s">
        <v>500</v>
      </c>
      <c r="J14" s="29"/>
      <c r="K14" s="68" t="s">
        <v>531</v>
      </c>
      <c r="L14" s="68" t="s">
        <v>634</v>
      </c>
      <c r="M14" s="81">
        <v>82.972727272727269</v>
      </c>
      <c r="N14" s="81">
        <v>25.27272727272727</v>
      </c>
      <c r="O14" s="24"/>
      <c r="P14" s="25"/>
      <c r="Q14" s="81"/>
      <c r="R14" s="25"/>
      <c r="S14" s="81"/>
      <c r="T14" s="25"/>
      <c r="U14" s="24"/>
      <c r="V14" s="81"/>
      <c r="W14" s="81"/>
      <c r="X14" s="24"/>
      <c r="Y14" s="24"/>
      <c r="Z14" s="24"/>
      <c r="AA14" s="24"/>
      <c r="AB14" s="24"/>
      <c r="AC14" s="24"/>
      <c r="AD14" s="24"/>
      <c r="AE14" s="81"/>
      <c r="AF14" s="81"/>
      <c r="AG14" s="24"/>
      <c r="AH14" s="24"/>
      <c r="AI14" s="81"/>
      <c r="AJ14" s="24"/>
      <c r="AK14" s="24"/>
      <c r="AL14" s="24"/>
      <c r="AM14" s="24"/>
      <c r="AN14" s="81"/>
      <c r="AO14" s="24"/>
      <c r="AP14" s="81"/>
      <c r="AQ14" s="24" t="s">
        <v>381</v>
      </c>
      <c r="AR14" s="29" t="s">
        <v>174</v>
      </c>
      <c r="AS14" s="29"/>
      <c r="AT14" s="29"/>
      <c r="AU14" s="29"/>
      <c r="AV14" s="29"/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29"/>
      <c r="BN14" s="29"/>
      <c r="BO14" s="29" t="s">
        <v>174</v>
      </c>
      <c r="BP14" s="91">
        <v>71.999999999999986</v>
      </c>
      <c r="BQ14" s="29"/>
      <c r="BR14" s="29"/>
      <c r="BS14" s="24"/>
      <c r="BT14" s="24"/>
      <c r="BU14" s="29"/>
      <c r="BV14" s="29" t="s">
        <v>174</v>
      </c>
      <c r="BW14" s="68">
        <v>1</v>
      </c>
      <c r="BX14" t="s">
        <v>592</v>
      </c>
      <c r="BY14" s="32" t="s">
        <v>635</v>
      </c>
    </row>
    <row r="15" spans="1:77" x14ac:dyDescent="0.15">
      <c r="A15" s="33">
        <v>6122</v>
      </c>
      <c r="B15" s="26">
        <v>42832</v>
      </c>
      <c r="C15" s="27" t="s">
        <v>377</v>
      </c>
      <c r="D15" s="68" t="s">
        <v>454</v>
      </c>
      <c r="E15" s="24"/>
      <c r="F15" s="24" t="s">
        <v>379</v>
      </c>
      <c r="G15" s="28">
        <v>42614</v>
      </c>
      <c r="H15" s="29" t="s">
        <v>175</v>
      </c>
      <c r="I15" s="29" t="s">
        <v>174</v>
      </c>
      <c r="J15" s="29"/>
      <c r="K15" s="24" t="s">
        <v>594</v>
      </c>
      <c r="L15" s="24" t="s">
        <v>595</v>
      </c>
      <c r="M15" s="81">
        <v>64.554545454545448</v>
      </c>
      <c r="N15" s="81">
        <v>26.36363636363636</v>
      </c>
      <c r="O15" s="24"/>
      <c r="P15" s="25"/>
      <c r="Q15" s="81"/>
      <c r="R15" s="25"/>
      <c r="S15" s="81"/>
      <c r="T15" s="25"/>
      <c r="U15" s="24"/>
      <c r="V15" s="81"/>
      <c r="W15" s="81"/>
      <c r="X15" s="25"/>
      <c r="Y15" s="24"/>
      <c r="Z15" s="25"/>
      <c r="AA15" s="24"/>
      <c r="AB15" s="25"/>
      <c r="AC15" s="24"/>
      <c r="AD15" s="24"/>
      <c r="AE15" s="81"/>
      <c r="AF15" s="81"/>
      <c r="AG15" s="25"/>
      <c r="AH15" s="24"/>
      <c r="AI15" s="81"/>
      <c r="AJ15" s="24"/>
      <c r="AK15" s="24"/>
      <c r="AL15" s="24"/>
      <c r="AM15" s="24"/>
      <c r="AN15" s="81"/>
      <c r="AO15" s="24"/>
      <c r="AP15" s="81"/>
      <c r="AQ15" s="24" t="s">
        <v>381</v>
      </c>
      <c r="AR15" s="29" t="s">
        <v>174</v>
      </c>
      <c r="AS15" s="29"/>
      <c r="AT15" s="29"/>
      <c r="AU15" s="29" t="s">
        <v>382</v>
      </c>
      <c r="AV15" s="29">
        <v>16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91">
        <v>218.07272727272721</v>
      </c>
      <c r="BQ15" s="29"/>
      <c r="BR15" s="283">
        <v>42915</v>
      </c>
      <c r="BS15" s="30"/>
      <c r="BT15" s="30"/>
      <c r="BU15" s="29"/>
      <c r="BV15" s="29" t="s">
        <v>174</v>
      </c>
      <c r="BW15" s="24"/>
      <c r="BX15" t="s">
        <v>636</v>
      </c>
      <c r="BY15" s="67" t="s">
        <v>637</v>
      </c>
    </row>
    <row r="16" spans="1:77" x14ac:dyDescent="0.15">
      <c r="A16" s="33"/>
      <c r="B16" s="26">
        <v>42832</v>
      </c>
      <c r="C16" s="27" t="s">
        <v>377</v>
      </c>
      <c r="D16" s="68" t="s">
        <v>454</v>
      </c>
      <c r="E16" s="24"/>
      <c r="F16" s="24" t="s">
        <v>379</v>
      </c>
      <c r="G16" s="28">
        <v>42587</v>
      </c>
      <c r="H16" s="29" t="s">
        <v>175</v>
      </c>
      <c r="I16" s="29" t="s">
        <v>174</v>
      </c>
      <c r="J16" s="29"/>
      <c r="K16" s="24" t="s">
        <v>597</v>
      </c>
      <c r="L16" s="24" t="s">
        <v>638</v>
      </c>
      <c r="M16" s="81">
        <v>85.799999999999983</v>
      </c>
      <c r="N16" s="81">
        <v>30.418181818181818</v>
      </c>
      <c r="O16" s="24"/>
      <c r="P16" s="25"/>
      <c r="Q16" s="81"/>
      <c r="R16" s="25"/>
      <c r="S16" s="81"/>
      <c r="T16" s="25"/>
      <c r="U16" s="24"/>
      <c r="V16" s="81"/>
      <c r="W16" s="81"/>
      <c r="X16" s="25"/>
      <c r="Y16" s="24"/>
      <c r="Z16" s="25"/>
      <c r="AA16" s="24"/>
      <c r="AB16" s="25"/>
      <c r="AC16" s="24"/>
      <c r="AD16" s="24"/>
      <c r="AE16" s="81"/>
      <c r="AF16" s="81"/>
      <c r="AG16" s="25"/>
      <c r="AH16" s="24"/>
      <c r="AI16" s="81"/>
      <c r="AJ16" s="24"/>
      <c r="AK16" s="24"/>
      <c r="AL16" s="24"/>
      <c r="AM16" s="24"/>
      <c r="AN16" s="81"/>
      <c r="AO16" s="24"/>
      <c r="AP16" s="81"/>
      <c r="AQ16" s="24" t="s">
        <v>381</v>
      </c>
      <c r="AR16" s="29" t="s">
        <v>174</v>
      </c>
      <c r="AS16" s="29"/>
      <c r="AT16" s="29"/>
      <c r="AU16" s="29" t="s">
        <v>382</v>
      </c>
      <c r="AV16" s="29">
        <v>4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>
        <v>12</v>
      </c>
      <c r="BO16" s="29" t="s">
        <v>174</v>
      </c>
      <c r="BP16" s="29"/>
      <c r="BQ16" s="29"/>
      <c r="BR16" s="29"/>
      <c r="BS16" s="24"/>
      <c r="BT16" s="24"/>
      <c r="BU16" s="29"/>
      <c r="BV16" s="29" t="s">
        <v>174</v>
      </c>
      <c r="BW16" s="24"/>
      <c r="BX16" s="66"/>
      <c r="BY16" s="269" t="s">
        <v>639</v>
      </c>
    </row>
    <row r="17" spans="1:77" x14ac:dyDescent="0.15">
      <c r="A17" s="33"/>
      <c r="B17" s="26">
        <v>42832</v>
      </c>
      <c r="C17" s="27" t="s">
        <v>377</v>
      </c>
      <c r="D17" s="68" t="s">
        <v>454</v>
      </c>
      <c r="E17" s="24"/>
      <c r="F17" s="24" t="s">
        <v>379</v>
      </c>
      <c r="G17" s="28">
        <v>42694</v>
      </c>
      <c r="H17" s="74" t="s">
        <v>175</v>
      </c>
      <c r="I17" s="74" t="s">
        <v>174</v>
      </c>
      <c r="J17" s="29"/>
      <c r="K17" s="68" t="s">
        <v>676</v>
      </c>
      <c r="L17" s="68" t="s">
        <v>677</v>
      </c>
      <c r="M17" s="81">
        <v>75</v>
      </c>
      <c r="N17" s="81">
        <v>36.381818181818183</v>
      </c>
      <c r="O17" s="24"/>
      <c r="P17" s="25"/>
      <c r="Q17" s="81"/>
      <c r="R17" s="25"/>
      <c r="S17" s="81"/>
      <c r="T17" s="25"/>
      <c r="U17" s="24"/>
      <c r="V17" s="81"/>
      <c r="W17" s="81"/>
      <c r="X17" s="25"/>
      <c r="Y17" s="24"/>
      <c r="Z17" s="25"/>
      <c r="AA17" s="24"/>
      <c r="AB17" s="25"/>
      <c r="AC17" s="24"/>
      <c r="AD17" s="24"/>
      <c r="AE17" s="81"/>
      <c r="AF17" s="81"/>
      <c r="AG17" s="25"/>
      <c r="AH17" s="24"/>
      <c r="AI17" s="81"/>
      <c r="AJ17" s="24"/>
      <c r="AK17" s="24"/>
      <c r="AL17" s="24"/>
      <c r="AM17" s="24"/>
      <c r="AN17" s="81"/>
      <c r="AO17" s="24"/>
      <c r="AP17" s="81"/>
      <c r="AQ17" s="24" t="s">
        <v>381</v>
      </c>
      <c r="AR17" s="29" t="s">
        <v>174</v>
      </c>
      <c r="AS17" s="29"/>
      <c r="AT17" s="29"/>
      <c r="AU17" s="29" t="s">
        <v>382</v>
      </c>
      <c r="AV17" s="29">
        <v>6</v>
      </c>
      <c r="AW17" s="29"/>
      <c r="AX17" s="29"/>
      <c r="AY17" s="29"/>
      <c r="AZ17" s="74" t="s">
        <v>361</v>
      </c>
      <c r="BA17" s="24"/>
      <c r="BB17" s="29">
        <v>0</v>
      </c>
      <c r="BC17" s="29">
        <v>15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74" t="s">
        <v>174</v>
      </c>
      <c r="BN17" s="29"/>
      <c r="BO17" s="74" t="s">
        <v>174</v>
      </c>
      <c r="BP17" s="29"/>
      <c r="BQ17" s="29"/>
      <c r="BR17" s="29"/>
      <c r="BS17" s="24"/>
      <c r="BT17" s="24"/>
      <c r="BU17" s="29"/>
      <c r="BV17" s="74" t="s">
        <v>174</v>
      </c>
      <c r="BW17" s="24"/>
      <c r="BX17" s="266" t="s">
        <v>679</v>
      </c>
      <c r="BY17" s="269" t="s">
        <v>712</v>
      </c>
    </row>
    <row r="18" spans="1:77" x14ac:dyDescent="0.15">
      <c r="A18" s="33"/>
      <c r="B18" s="26">
        <v>42832</v>
      </c>
      <c r="C18" s="27" t="s">
        <v>377</v>
      </c>
      <c r="D18" s="68" t="s">
        <v>454</v>
      </c>
      <c r="E18" s="24"/>
      <c r="F18" s="24" t="s">
        <v>379</v>
      </c>
      <c r="G18" s="28">
        <v>42582</v>
      </c>
      <c r="H18" s="74" t="s">
        <v>175</v>
      </c>
      <c r="I18" s="74" t="s">
        <v>174</v>
      </c>
      <c r="J18" s="74"/>
      <c r="K18" s="68" t="s">
        <v>682</v>
      </c>
      <c r="L18" s="68" t="s">
        <v>683</v>
      </c>
      <c r="M18" s="81">
        <v>85.899999999999991</v>
      </c>
      <c r="N18" s="81">
        <v>27</v>
      </c>
      <c r="O18" s="24"/>
      <c r="P18" s="25"/>
      <c r="Q18" s="81"/>
      <c r="R18" s="25"/>
      <c r="S18" s="81"/>
      <c r="T18" s="25"/>
      <c r="U18" s="24"/>
      <c r="V18" s="81"/>
      <c r="W18" s="81"/>
      <c r="X18" s="25"/>
      <c r="Y18" s="24"/>
      <c r="Z18" s="25"/>
      <c r="AA18" s="24"/>
      <c r="AB18" s="25"/>
      <c r="AC18" s="24"/>
      <c r="AD18" s="24"/>
      <c r="AE18" s="81"/>
      <c r="AF18" s="81"/>
      <c r="AG18" s="25"/>
      <c r="AH18" s="24"/>
      <c r="AI18" s="81"/>
      <c r="AJ18" s="24"/>
      <c r="AK18" s="24"/>
      <c r="AL18" s="24"/>
      <c r="AM18" s="24"/>
      <c r="AN18" s="81"/>
      <c r="AO18" s="24"/>
      <c r="AP18" s="81"/>
      <c r="AQ18" s="24" t="s">
        <v>381</v>
      </c>
      <c r="AR18" s="29" t="s">
        <v>174</v>
      </c>
      <c r="AS18" s="29"/>
      <c r="AT18" s="29"/>
      <c r="AU18" s="29" t="s">
        <v>382</v>
      </c>
      <c r="AV18" s="29">
        <v>10</v>
      </c>
      <c r="AW18" s="29"/>
      <c r="AX18" s="29"/>
      <c r="AY18" s="29"/>
      <c r="AZ18" s="74" t="s">
        <v>174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74" t="s">
        <v>174</v>
      </c>
      <c r="BN18" s="29"/>
      <c r="BO18" s="74" t="s">
        <v>174</v>
      </c>
      <c r="BP18" s="29"/>
      <c r="BQ18" s="29"/>
      <c r="BR18" s="29"/>
      <c r="BS18" s="24"/>
      <c r="BT18" s="24"/>
      <c r="BU18" s="29"/>
      <c r="BV18" s="74" t="s">
        <v>174</v>
      </c>
      <c r="BW18" s="24"/>
      <c r="BX18" s="308"/>
      <c r="BY18" s="269" t="s">
        <v>684</v>
      </c>
    </row>
    <row r="19" spans="1:77" x14ac:dyDescent="0.15">
      <c r="A19" s="33"/>
      <c r="B19" s="26">
        <v>42832</v>
      </c>
      <c r="C19" s="27" t="s">
        <v>377</v>
      </c>
      <c r="D19" s="68" t="s">
        <v>454</v>
      </c>
      <c r="E19" s="24"/>
      <c r="F19" s="24" t="s">
        <v>379</v>
      </c>
      <c r="G19" s="28">
        <v>42797</v>
      </c>
      <c r="H19" s="74" t="s">
        <v>175</v>
      </c>
      <c r="I19" s="74" t="s">
        <v>174</v>
      </c>
      <c r="J19" s="74"/>
      <c r="K19" s="68" t="s">
        <v>686</v>
      </c>
      <c r="L19" s="68" t="s">
        <v>687</v>
      </c>
      <c r="M19" s="81">
        <v>106.6090909090909</v>
      </c>
      <c r="N19" s="81">
        <v>35.799999999999997</v>
      </c>
      <c r="O19" s="24"/>
      <c r="P19" s="25"/>
      <c r="Q19" s="81"/>
      <c r="R19" s="25"/>
      <c r="S19" s="81"/>
      <c r="T19" s="25"/>
      <c r="U19" s="24"/>
      <c r="V19" s="81"/>
      <c r="W19" s="81"/>
      <c r="X19" s="25"/>
      <c r="Y19" s="24"/>
      <c r="Z19" s="25"/>
      <c r="AA19" s="24"/>
      <c r="AB19" s="25"/>
      <c r="AC19" s="24"/>
      <c r="AD19" s="24"/>
      <c r="AE19" s="81"/>
      <c r="AF19" s="81"/>
      <c r="AG19" s="25"/>
      <c r="AH19" s="24"/>
      <c r="AI19" s="81"/>
      <c r="AJ19" s="24"/>
      <c r="AK19" s="24"/>
      <c r="AL19" s="24"/>
      <c r="AM19" s="24"/>
      <c r="AN19" s="81"/>
      <c r="AO19" s="24"/>
      <c r="AP19" s="81"/>
      <c r="AQ19" s="24" t="s">
        <v>381</v>
      </c>
      <c r="AR19" s="29" t="s">
        <v>174</v>
      </c>
      <c r="AS19" s="29"/>
      <c r="AT19" s="29"/>
      <c r="AU19" s="29" t="s">
        <v>382</v>
      </c>
      <c r="AV19" s="29">
        <v>8</v>
      </c>
      <c r="AW19" s="29"/>
      <c r="AX19" s="29"/>
      <c r="AY19" s="29"/>
      <c r="AZ19" s="74" t="s">
        <v>174</v>
      </c>
      <c r="BA19" s="24"/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74" t="s">
        <v>174</v>
      </c>
      <c r="BN19" s="29"/>
      <c r="BO19" s="74" t="s">
        <v>174</v>
      </c>
      <c r="BP19" s="29"/>
      <c r="BQ19" s="29"/>
      <c r="BR19" s="29"/>
      <c r="BS19" s="24"/>
      <c r="BT19" s="24"/>
      <c r="BU19" s="29"/>
      <c r="BV19" s="74" t="s">
        <v>174</v>
      </c>
      <c r="BW19" s="24"/>
      <c r="BX19" s="266" t="s">
        <v>690</v>
      </c>
      <c r="BY19" s="269" t="s">
        <v>714</v>
      </c>
    </row>
    <row r="20" spans="1:77" x14ac:dyDescent="0.15">
      <c r="A20" s="33"/>
      <c r="B20" s="26">
        <v>42832</v>
      </c>
      <c r="C20" s="27" t="s">
        <v>377</v>
      </c>
      <c r="D20" s="68" t="s">
        <v>454</v>
      </c>
      <c r="E20" s="24"/>
      <c r="F20" s="24" t="s">
        <v>379</v>
      </c>
      <c r="G20" s="28">
        <v>42657</v>
      </c>
      <c r="H20" s="74" t="s">
        <v>175</v>
      </c>
      <c r="I20" s="74" t="s">
        <v>174</v>
      </c>
      <c r="J20" s="74"/>
      <c r="K20" s="68" t="s">
        <v>691</v>
      </c>
      <c r="L20" s="68" t="s">
        <v>692</v>
      </c>
      <c r="M20" s="81">
        <v>93</v>
      </c>
      <c r="N20" s="81">
        <v>26.799999999999997</v>
      </c>
      <c r="O20" s="24"/>
      <c r="P20" s="25"/>
      <c r="Q20" s="81"/>
      <c r="R20" s="25"/>
      <c r="S20" s="81"/>
      <c r="T20" s="25"/>
      <c r="U20" s="24"/>
      <c r="V20" s="81"/>
      <c r="W20" s="81"/>
      <c r="X20" s="25"/>
      <c r="Y20" s="24"/>
      <c r="Z20" s="25"/>
      <c r="AA20" s="24"/>
      <c r="AB20" s="25"/>
      <c r="AC20" s="24"/>
      <c r="AD20" s="24"/>
      <c r="AE20" s="81"/>
      <c r="AF20" s="81"/>
      <c r="AG20" s="25"/>
      <c r="AH20" s="24"/>
      <c r="AI20" s="81"/>
      <c r="AJ20" s="24"/>
      <c r="AK20" s="24"/>
      <c r="AL20" s="24"/>
      <c r="AM20" s="24"/>
      <c r="AN20" s="81"/>
      <c r="AO20" s="24"/>
      <c r="AP20" s="81"/>
      <c r="AQ20" s="24" t="s">
        <v>381</v>
      </c>
      <c r="AR20" s="29" t="s">
        <v>174</v>
      </c>
      <c r="AS20" s="29"/>
      <c r="AT20" s="29"/>
      <c r="AU20" s="29" t="s">
        <v>382</v>
      </c>
      <c r="AV20" s="29">
        <v>5</v>
      </c>
      <c r="AW20" s="29"/>
      <c r="AX20" s="29"/>
      <c r="AY20" s="29"/>
      <c r="AZ20" s="74" t="s">
        <v>361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74" t="s">
        <v>174</v>
      </c>
      <c r="BN20" s="29"/>
      <c r="BO20" s="74" t="s">
        <v>174</v>
      </c>
      <c r="BP20" s="29"/>
      <c r="BQ20" s="29"/>
      <c r="BR20" s="29"/>
      <c r="BS20" s="24"/>
      <c r="BT20" s="24"/>
      <c r="BU20" s="29"/>
      <c r="BV20" s="74" t="s">
        <v>174</v>
      </c>
      <c r="BW20" s="24">
        <v>1</v>
      </c>
      <c r="BX20" s="308"/>
      <c r="BY20" s="269" t="s">
        <v>693</v>
      </c>
    </row>
    <row r="21" spans="1:77" x14ac:dyDescent="0.15">
      <c r="A21" s="33"/>
      <c r="B21" s="26">
        <v>42832</v>
      </c>
      <c r="C21" s="27" t="s">
        <v>377</v>
      </c>
      <c r="D21" s="68" t="s">
        <v>454</v>
      </c>
      <c r="E21" s="24"/>
      <c r="F21" s="24" t="s">
        <v>379</v>
      </c>
      <c r="G21" s="28">
        <v>42704</v>
      </c>
      <c r="H21" s="74" t="s">
        <v>175</v>
      </c>
      <c r="I21" s="74" t="s">
        <v>174</v>
      </c>
      <c r="J21" s="74"/>
      <c r="K21" s="68" t="s">
        <v>705</v>
      </c>
      <c r="L21" s="68" t="s">
        <v>706</v>
      </c>
      <c r="M21" s="81">
        <v>75</v>
      </c>
      <c r="N21" s="81">
        <v>30.7</v>
      </c>
      <c r="O21" s="24"/>
      <c r="P21" s="25"/>
      <c r="Q21" s="81"/>
      <c r="R21" s="25"/>
      <c r="S21" s="81"/>
      <c r="T21" s="25"/>
      <c r="U21" s="24"/>
      <c r="V21" s="81"/>
      <c r="W21" s="81"/>
      <c r="X21" s="25"/>
      <c r="Y21" s="24"/>
      <c r="Z21" s="25"/>
      <c r="AA21" s="24"/>
      <c r="AB21" s="25"/>
      <c r="AC21" s="24"/>
      <c r="AD21" s="24"/>
      <c r="AE21" s="81"/>
      <c r="AF21" s="81"/>
      <c r="AG21" s="25"/>
      <c r="AH21" s="24"/>
      <c r="AI21" s="81"/>
      <c r="AJ21" s="24"/>
      <c r="AK21" s="24"/>
      <c r="AL21" s="24"/>
      <c r="AM21" s="24"/>
      <c r="AN21" s="81"/>
      <c r="AO21" s="24"/>
      <c r="AP21" s="81"/>
      <c r="AQ21" s="24" t="s">
        <v>381</v>
      </c>
      <c r="AR21" s="29" t="s">
        <v>174</v>
      </c>
      <c r="AS21" s="29"/>
      <c r="AT21" s="29"/>
      <c r="AU21" s="29"/>
      <c r="AV21" s="29"/>
      <c r="AW21" s="29"/>
      <c r="AX21" s="29"/>
      <c r="AY21" s="29"/>
      <c r="AZ21" s="74" t="s">
        <v>174</v>
      </c>
      <c r="BA21" s="24"/>
      <c r="BB21" s="29">
        <v>0</v>
      </c>
      <c r="BC21" s="29">
        <v>5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74" t="s">
        <v>174</v>
      </c>
      <c r="BN21" s="29"/>
      <c r="BO21" s="74" t="s">
        <v>174</v>
      </c>
      <c r="BP21" s="29"/>
      <c r="BQ21" s="29"/>
      <c r="BR21" s="29"/>
      <c r="BS21" s="24"/>
      <c r="BT21" s="24"/>
      <c r="BU21" s="29"/>
      <c r="BV21" s="74" t="s">
        <v>174</v>
      </c>
      <c r="BW21" s="24"/>
      <c r="BX21" s="308"/>
      <c r="BY21" s="269" t="s">
        <v>711</v>
      </c>
    </row>
    <row r="22" spans="1:77" x14ac:dyDescent="0.15">
      <c r="A22" s="33"/>
      <c r="B22" s="26">
        <v>42832</v>
      </c>
      <c r="C22" s="27" t="s">
        <v>377</v>
      </c>
      <c r="D22" s="68" t="s">
        <v>454</v>
      </c>
      <c r="E22" s="24"/>
      <c r="F22" s="24" t="s">
        <v>379</v>
      </c>
      <c r="G22" s="28">
        <v>43047</v>
      </c>
      <c r="H22" s="74" t="s">
        <v>175</v>
      </c>
      <c r="I22" s="74" t="s">
        <v>174</v>
      </c>
      <c r="J22" s="74"/>
      <c r="K22" s="68" t="s">
        <v>708</v>
      </c>
      <c r="L22" s="68" t="s">
        <v>709</v>
      </c>
      <c r="M22" s="81">
        <v>82</v>
      </c>
      <c r="N22" s="81">
        <v>36.199999999999996</v>
      </c>
      <c r="O22" s="24"/>
      <c r="P22" s="25"/>
      <c r="Q22" s="81"/>
      <c r="R22" s="25"/>
      <c r="S22" s="81"/>
      <c r="T22" s="25"/>
      <c r="U22" s="24"/>
      <c r="V22" s="81"/>
      <c r="W22" s="81"/>
      <c r="X22" s="25"/>
      <c r="Y22" s="24"/>
      <c r="Z22" s="25"/>
      <c r="AA22" s="24"/>
      <c r="AB22" s="25"/>
      <c r="AC22" s="24"/>
      <c r="AD22" s="24"/>
      <c r="AE22" s="81"/>
      <c r="AF22" s="81"/>
      <c r="AG22" s="25"/>
      <c r="AH22" s="24"/>
      <c r="AI22" s="81"/>
      <c r="AJ22" s="24"/>
      <c r="AK22" s="24"/>
      <c r="AL22" s="24"/>
      <c r="AM22" s="24"/>
      <c r="AN22" s="81"/>
      <c r="AO22" s="24"/>
      <c r="AP22" s="81"/>
      <c r="AQ22" s="24" t="s">
        <v>381</v>
      </c>
      <c r="AR22" s="29" t="s">
        <v>174</v>
      </c>
      <c r="AS22" s="29"/>
      <c r="AT22" s="29"/>
      <c r="AU22" s="29" t="s">
        <v>382</v>
      </c>
      <c r="AV22" s="29">
        <v>8</v>
      </c>
      <c r="AW22" s="29"/>
      <c r="AX22" s="29"/>
      <c r="AY22" s="29"/>
      <c r="AZ22" s="74" t="s">
        <v>174</v>
      </c>
      <c r="BA22" s="24"/>
      <c r="BB22" s="29">
        <v>4</v>
      </c>
      <c r="BC22" s="29">
        <v>0</v>
      </c>
      <c r="BD22" s="29">
        <v>10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74" t="s">
        <v>174</v>
      </c>
      <c r="BN22" s="29"/>
      <c r="BO22" s="74" t="s">
        <v>174</v>
      </c>
      <c r="BP22" s="29"/>
      <c r="BQ22" s="29"/>
      <c r="BR22" s="29"/>
      <c r="BS22" s="24"/>
      <c r="BT22" s="24"/>
      <c r="BU22" s="29"/>
      <c r="BV22" s="74" t="s">
        <v>174</v>
      </c>
      <c r="BW22" s="24">
        <v>1</v>
      </c>
      <c r="BX22" s="308"/>
      <c r="BY22" s="269" t="s">
        <v>716</v>
      </c>
    </row>
    <row r="23" spans="1:77" x14ac:dyDescent="0.15">
      <c r="A23" s="33">
        <v>4249</v>
      </c>
      <c r="B23" s="26">
        <v>42832</v>
      </c>
      <c r="C23" s="27" t="s">
        <v>377</v>
      </c>
      <c r="D23" s="68" t="s">
        <v>454</v>
      </c>
      <c r="E23" s="24"/>
      <c r="F23" s="24" t="s">
        <v>403</v>
      </c>
      <c r="G23" s="28">
        <v>42825</v>
      </c>
      <c r="H23" s="29" t="s">
        <v>175</v>
      </c>
      <c r="I23" s="29" t="s">
        <v>174</v>
      </c>
      <c r="J23" s="29"/>
      <c r="K23" s="24" t="s">
        <v>296</v>
      </c>
      <c r="L23" s="24" t="s">
        <v>510</v>
      </c>
      <c r="M23" s="81">
        <v>75.654545454545442</v>
      </c>
      <c r="N23" s="81">
        <v>30.7</v>
      </c>
      <c r="O23" s="24" t="s">
        <v>518</v>
      </c>
      <c r="P23" s="25">
        <v>5000</v>
      </c>
      <c r="Q23" s="81">
        <v>30.7</v>
      </c>
      <c r="R23" s="25"/>
      <c r="S23" s="81"/>
      <c r="T23" s="25"/>
      <c r="U23" s="24"/>
      <c r="V23" s="81"/>
      <c r="W23" s="81"/>
      <c r="X23" s="24"/>
      <c r="Y23" s="24"/>
      <c r="Z23" s="24"/>
      <c r="AA23" s="24"/>
      <c r="AB23" s="25"/>
      <c r="AC23" s="24"/>
      <c r="AD23" s="24"/>
      <c r="AE23" s="81"/>
      <c r="AF23" s="81">
        <v>14.436363636363636</v>
      </c>
      <c r="AG23" s="25"/>
      <c r="AH23" s="24"/>
      <c r="AI23" s="81"/>
      <c r="AJ23" s="24"/>
      <c r="AK23" s="24"/>
      <c r="AL23" s="24"/>
      <c r="AM23" s="24"/>
      <c r="AN23" s="81"/>
      <c r="AO23" s="24"/>
      <c r="AP23" s="81"/>
      <c r="AQ23" s="24" t="s">
        <v>404</v>
      </c>
      <c r="AR23" s="29" t="s">
        <v>174</v>
      </c>
      <c r="AS23" s="29"/>
      <c r="AT23" s="29"/>
      <c r="AU23" s="29" t="s">
        <v>382</v>
      </c>
      <c r="AV23" s="29">
        <v>8</v>
      </c>
      <c r="AW23" s="29"/>
      <c r="AX23" s="29"/>
      <c r="AY23" s="29"/>
      <c r="AZ23" s="29" t="s">
        <v>361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>
        <v>12</v>
      </c>
      <c r="BO23" s="29" t="s">
        <v>174</v>
      </c>
      <c r="BP23" s="29"/>
      <c r="BQ23" s="29">
        <v>12</v>
      </c>
      <c r="BR23" s="29"/>
      <c r="BS23" s="30"/>
      <c r="BT23" s="30"/>
      <c r="BU23" s="29"/>
      <c r="BV23" s="29" t="s">
        <v>174</v>
      </c>
      <c r="BW23" s="24"/>
      <c r="BX23" s="66"/>
      <c r="BY23" s="67" t="s">
        <v>640</v>
      </c>
    </row>
    <row r="24" spans="1:77" x14ac:dyDescent="0.15">
      <c r="A24" s="33">
        <v>5548</v>
      </c>
      <c r="B24" s="26">
        <v>42832</v>
      </c>
      <c r="C24" s="27" t="s">
        <v>377</v>
      </c>
      <c r="D24" s="68" t="s">
        <v>454</v>
      </c>
      <c r="E24" s="24"/>
      <c r="F24" s="24" t="s">
        <v>403</v>
      </c>
      <c r="G24" s="28">
        <v>42689</v>
      </c>
      <c r="H24" s="29" t="s">
        <v>175</v>
      </c>
      <c r="I24" s="29" t="s">
        <v>174</v>
      </c>
      <c r="J24" s="29"/>
      <c r="K24" s="24" t="s">
        <v>297</v>
      </c>
      <c r="L24" s="24" t="s">
        <v>511</v>
      </c>
      <c r="M24" s="81">
        <v>90.5</v>
      </c>
      <c r="N24" s="81">
        <v>33.972727272727269</v>
      </c>
      <c r="O24" s="24" t="s">
        <v>518</v>
      </c>
      <c r="P24" s="25">
        <v>2500</v>
      </c>
      <c r="Q24" s="81">
        <v>33.972727272727269</v>
      </c>
      <c r="R24" s="25"/>
      <c r="S24" s="81"/>
      <c r="T24" s="25"/>
      <c r="U24" s="24"/>
      <c r="V24" s="81"/>
      <c r="W24" s="81"/>
      <c r="X24" s="24"/>
      <c r="Y24" s="24"/>
      <c r="Z24" s="24"/>
      <c r="AA24" s="24"/>
      <c r="AB24" s="24"/>
      <c r="AC24" s="24"/>
      <c r="AD24" s="24"/>
      <c r="AE24" s="81"/>
      <c r="AF24" s="81">
        <v>15.509090909090906</v>
      </c>
      <c r="AG24" s="25"/>
      <c r="AH24" s="24"/>
      <c r="AI24" s="81"/>
      <c r="AJ24" s="24"/>
      <c r="AK24" s="24"/>
      <c r="AL24" s="24"/>
      <c r="AM24" s="24"/>
      <c r="AN24" s="81"/>
      <c r="AO24" s="24"/>
      <c r="AP24" s="81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9.5</v>
      </c>
      <c r="AW24" s="29"/>
      <c r="AX24" s="29"/>
      <c r="AY24" s="29"/>
      <c r="AZ24" s="29" t="s">
        <v>174</v>
      </c>
      <c r="BA24" s="24"/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29"/>
      <c r="BQ24" s="29"/>
      <c r="BR24" s="29"/>
      <c r="BS24" s="24"/>
      <c r="BT24" s="24"/>
      <c r="BU24" s="29"/>
      <c r="BV24" s="29" t="s">
        <v>174</v>
      </c>
      <c r="BW24" s="68">
        <v>1</v>
      </c>
      <c r="BX24" s="66"/>
      <c r="BY24" s="67" t="s">
        <v>641</v>
      </c>
    </row>
    <row r="25" spans="1:77" x14ac:dyDescent="0.15">
      <c r="A25" s="33">
        <v>5769</v>
      </c>
      <c r="B25" s="26">
        <v>42832</v>
      </c>
      <c r="C25" s="27" t="s">
        <v>377</v>
      </c>
      <c r="D25" s="68" t="s">
        <v>454</v>
      </c>
      <c r="E25" s="24"/>
      <c r="F25" s="24" t="s">
        <v>403</v>
      </c>
      <c r="G25" s="28">
        <v>42643</v>
      </c>
      <c r="H25" s="29" t="s">
        <v>175</v>
      </c>
      <c r="I25" s="29" t="s">
        <v>174</v>
      </c>
      <c r="J25" s="29"/>
      <c r="K25" s="24" t="s">
        <v>300</v>
      </c>
      <c r="L25" s="24" t="s">
        <v>517</v>
      </c>
      <c r="M25" s="81">
        <v>99.5</v>
      </c>
      <c r="N25" s="81">
        <v>37.554545454545455</v>
      </c>
      <c r="O25" s="24" t="s">
        <v>518</v>
      </c>
      <c r="P25" s="25">
        <v>1000</v>
      </c>
      <c r="Q25" s="81">
        <v>39.954545454545453</v>
      </c>
      <c r="R25" s="25"/>
      <c r="S25" s="81"/>
      <c r="T25" s="25"/>
      <c r="U25" s="24"/>
      <c r="V25" s="81"/>
      <c r="W25" s="81"/>
      <c r="X25" s="24"/>
      <c r="Y25" s="24"/>
      <c r="Z25" s="24"/>
      <c r="AA25" s="24"/>
      <c r="AB25" s="24"/>
      <c r="AC25" s="24"/>
      <c r="AD25" s="24"/>
      <c r="AE25" s="81"/>
      <c r="AF25" s="81">
        <v>19.954545454545453</v>
      </c>
      <c r="AG25" s="25"/>
      <c r="AH25" s="24"/>
      <c r="AI25" s="81"/>
      <c r="AJ25" s="24"/>
      <c r="AK25" s="24"/>
      <c r="AL25" s="24"/>
      <c r="AM25" s="24"/>
      <c r="AN25" s="81"/>
      <c r="AO25" s="24"/>
      <c r="AP25" s="81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10.199999999999999</v>
      </c>
      <c r="AW25" s="29"/>
      <c r="AX25" s="29"/>
      <c r="AY25" s="29"/>
      <c r="AZ25" s="29" t="s">
        <v>361</v>
      </c>
      <c r="BA25" s="24"/>
      <c r="BB25" s="29">
        <v>0</v>
      </c>
      <c r="BC25" s="29">
        <v>0</v>
      </c>
      <c r="BD25" s="29">
        <v>7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/>
      <c r="BO25" s="29" t="s">
        <v>174</v>
      </c>
      <c r="BP25" s="29"/>
      <c r="BQ25" s="29"/>
      <c r="BR25" s="29"/>
      <c r="BS25" s="24"/>
      <c r="BT25" s="24"/>
      <c r="BU25" s="29"/>
      <c r="BV25" s="29" t="s">
        <v>174</v>
      </c>
      <c r="BW25" s="24"/>
      <c r="BY25" s="32" t="s">
        <v>644</v>
      </c>
    </row>
    <row r="26" spans="1:77" x14ac:dyDescent="0.15">
      <c r="A26" s="33">
        <v>5267</v>
      </c>
      <c r="B26" s="26">
        <v>42832</v>
      </c>
      <c r="C26" s="27" t="s">
        <v>377</v>
      </c>
      <c r="D26" s="68" t="s">
        <v>454</v>
      </c>
      <c r="E26" s="24"/>
      <c r="F26" s="24" t="s">
        <v>403</v>
      </c>
      <c r="G26" s="28">
        <v>42735</v>
      </c>
      <c r="H26" s="29" t="s">
        <v>175</v>
      </c>
      <c r="I26" s="29" t="s">
        <v>174</v>
      </c>
      <c r="J26" s="29"/>
      <c r="K26" s="24" t="s">
        <v>301</v>
      </c>
      <c r="L26" s="24" t="s">
        <v>520</v>
      </c>
      <c r="M26" s="81">
        <v>97.999999999999986</v>
      </c>
      <c r="N26" s="81">
        <v>35.963636363636361</v>
      </c>
      <c r="O26" s="24"/>
      <c r="P26" s="25"/>
      <c r="Q26" s="81"/>
      <c r="R26" s="25"/>
      <c r="S26" s="81"/>
      <c r="T26" s="25"/>
      <c r="U26" s="24"/>
      <c r="V26" s="81"/>
      <c r="W26" s="81"/>
      <c r="X26" s="25"/>
      <c r="Y26" s="24"/>
      <c r="Z26" s="25"/>
      <c r="AA26" s="24"/>
      <c r="AB26" s="25"/>
      <c r="AC26" s="24"/>
      <c r="AD26" s="24"/>
      <c r="AE26" s="81"/>
      <c r="AF26" s="81">
        <v>16.972727272727273</v>
      </c>
      <c r="AG26" s="25"/>
      <c r="AH26" s="24"/>
      <c r="AI26" s="81"/>
      <c r="AJ26" s="24"/>
      <c r="AK26" s="24"/>
      <c r="AL26" s="24"/>
      <c r="AM26" s="24"/>
      <c r="AN26" s="81"/>
      <c r="AO26" s="24"/>
      <c r="AP26" s="81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11.55</v>
      </c>
      <c r="AW26" s="29"/>
      <c r="AX26" s="29"/>
      <c r="AY26" s="29"/>
      <c r="AZ26" s="29" t="s">
        <v>361</v>
      </c>
      <c r="BA26" s="24"/>
      <c r="BB26" s="29">
        <v>3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>
        <v>12</v>
      </c>
      <c r="BO26" s="29" t="s">
        <v>174</v>
      </c>
      <c r="BP26" s="29"/>
      <c r="BQ26" s="29">
        <v>12</v>
      </c>
      <c r="BR26" s="29"/>
      <c r="BS26" s="24"/>
      <c r="BT26" s="24"/>
      <c r="BU26" s="29"/>
      <c r="BV26" s="29" t="s">
        <v>174</v>
      </c>
      <c r="BW26" s="24">
        <v>1</v>
      </c>
      <c r="BX26" s="66"/>
      <c r="BY26" s="67" t="s">
        <v>645</v>
      </c>
    </row>
    <row r="27" spans="1:77" x14ac:dyDescent="0.15">
      <c r="A27" s="33">
        <v>4784</v>
      </c>
      <c r="B27" s="26">
        <v>42832</v>
      </c>
      <c r="C27" s="27" t="s">
        <v>377</v>
      </c>
      <c r="D27" s="68" t="s">
        <v>454</v>
      </c>
      <c r="E27" s="24"/>
      <c r="F27" s="24" t="s">
        <v>403</v>
      </c>
      <c r="G27" s="28">
        <v>42789</v>
      </c>
      <c r="H27" s="29" t="s">
        <v>175</v>
      </c>
      <c r="I27" s="29" t="s">
        <v>174</v>
      </c>
      <c r="J27" s="29"/>
      <c r="K27" s="24" t="s">
        <v>302</v>
      </c>
      <c r="L27" s="24" t="s">
        <v>521</v>
      </c>
      <c r="M27" s="81">
        <v>86.018181818181816</v>
      </c>
      <c r="N27" s="81">
        <v>33.890909090909091</v>
      </c>
      <c r="O27" s="24"/>
      <c r="P27" s="25"/>
      <c r="Q27" s="81"/>
      <c r="R27" s="25"/>
      <c r="S27" s="81"/>
      <c r="T27" s="25"/>
      <c r="U27" s="24"/>
      <c r="V27" s="81"/>
      <c r="W27" s="81"/>
      <c r="X27" s="25"/>
      <c r="Y27" s="24"/>
      <c r="Z27" s="25"/>
      <c r="AA27" s="24"/>
      <c r="AB27" s="25"/>
      <c r="AC27" s="24"/>
      <c r="AD27" s="24"/>
      <c r="AE27" s="81"/>
      <c r="AF27" s="81">
        <v>18.799999999999997</v>
      </c>
      <c r="AG27" s="25"/>
      <c r="AH27" s="24"/>
      <c r="AI27" s="81"/>
      <c r="AJ27" s="24"/>
      <c r="AK27" s="24"/>
      <c r="AL27" s="24"/>
      <c r="AM27" s="24"/>
      <c r="AN27" s="81"/>
      <c r="AO27" s="24"/>
      <c r="AP27" s="81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12</v>
      </c>
      <c r="AW27" s="29"/>
      <c r="AX27" s="29"/>
      <c r="AY27" s="29"/>
      <c r="AZ27" s="29" t="s">
        <v>361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29"/>
      <c r="BQ27" s="29"/>
      <c r="BR27" s="29"/>
      <c r="BS27" s="24"/>
      <c r="BT27" s="24"/>
      <c r="BU27" s="29"/>
      <c r="BV27" s="29" t="s">
        <v>174</v>
      </c>
      <c r="BW27" s="24"/>
      <c r="BX27" s="66"/>
      <c r="BY27" s="67" t="s">
        <v>698</v>
      </c>
    </row>
    <row r="28" spans="1:77" x14ac:dyDescent="0.15">
      <c r="A28" s="33">
        <v>929</v>
      </c>
      <c r="B28" s="26">
        <v>42832</v>
      </c>
      <c r="C28" s="27" t="s">
        <v>377</v>
      </c>
      <c r="D28" s="68" t="s">
        <v>454</v>
      </c>
      <c r="E28" s="24"/>
      <c r="F28" s="24" t="s">
        <v>403</v>
      </c>
      <c r="G28" s="26">
        <v>42634</v>
      </c>
      <c r="H28" s="29" t="s">
        <v>175</v>
      </c>
      <c r="I28" s="29" t="s">
        <v>174</v>
      </c>
      <c r="J28" s="29"/>
      <c r="K28" s="24" t="s">
        <v>303</v>
      </c>
      <c r="L28" s="24" t="s">
        <v>522</v>
      </c>
      <c r="M28" s="81">
        <v>97.881818181818176</v>
      </c>
      <c r="N28" s="81">
        <v>36.236363636363635</v>
      </c>
      <c r="O28" s="24"/>
      <c r="P28" s="25"/>
      <c r="Q28" s="81"/>
      <c r="R28" s="25"/>
      <c r="S28" s="81"/>
      <c r="T28" s="24"/>
      <c r="U28" s="24"/>
      <c r="V28" s="81"/>
      <c r="W28" s="81"/>
      <c r="X28" s="24"/>
      <c r="Y28" s="24"/>
      <c r="Z28" s="24"/>
      <c r="AA28" s="24"/>
      <c r="AB28" s="24"/>
      <c r="AC28" s="24"/>
      <c r="AD28" s="24"/>
      <c r="AE28" s="81"/>
      <c r="AF28" s="81">
        <v>21.309090909090909</v>
      </c>
      <c r="AG28" s="25"/>
      <c r="AH28" s="24"/>
      <c r="AI28" s="81"/>
      <c r="AJ28" s="24"/>
      <c r="AK28" s="24"/>
      <c r="AL28" s="24"/>
      <c r="AM28" s="24"/>
      <c r="AN28" s="81"/>
      <c r="AO28" s="24"/>
      <c r="AP28" s="81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6.8</v>
      </c>
      <c r="AW28" s="29"/>
      <c r="AX28" s="29"/>
      <c r="AY28" s="29"/>
      <c r="AZ28" s="29" t="s">
        <v>361</v>
      </c>
      <c r="BA28" s="24"/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174</v>
      </c>
      <c r="BN28" s="29"/>
      <c r="BO28" s="29" t="s">
        <v>174</v>
      </c>
      <c r="BP28" s="29"/>
      <c r="BQ28" s="29"/>
      <c r="BR28" s="29"/>
      <c r="BS28" s="24"/>
      <c r="BT28" s="24"/>
      <c r="BU28" s="29"/>
      <c r="BV28" s="29" t="s">
        <v>174</v>
      </c>
      <c r="BW28" s="24"/>
      <c r="BX28" s="66"/>
      <c r="BY28" s="67" t="s">
        <v>646</v>
      </c>
    </row>
    <row r="29" spans="1:77" x14ac:dyDescent="0.15">
      <c r="A29" s="33">
        <v>5407</v>
      </c>
      <c r="B29" s="26">
        <v>42832</v>
      </c>
      <c r="C29" s="27" t="s">
        <v>377</v>
      </c>
      <c r="D29" s="68" t="s">
        <v>454</v>
      </c>
      <c r="E29" s="24"/>
      <c r="F29" s="24" t="s">
        <v>403</v>
      </c>
      <c r="G29" s="28">
        <v>42735</v>
      </c>
      <c r="H29" s="29" t="s">
        <v>175</v>
      </c>
      <c r="I29" s="29" t="s">
        <v>174</v>
      </c>
      <c r="J29" s="29"/>
      <c r="K29" s="24" t="s">
        <v>304</v>
      </c>
      <c r="L29" s="24" t="s">
        <v>523</v>
      </c>
      <c r="M29" s="81">
        <v>82.054545454545448</v>
      </c>
      <c r="N29" s="81">
        <v>36.25454545454545</v>
      </c>
      <c r="O29" s="24"/>
      <c r="P29" s="24"/>
      <c r="Q29" s="81"/>
      <c r="R29" s="25"/>
      <c r="S29" s="81"/>
      <c r="T29" s="25"/>
      <c r="U29" s="24"/>
      <c r="V29" s="81"/>
      <c r="W29" s="81"/>
      <c r="X29" s="24"/>
      <c r="Y29" s="24"/>
      <c r="Z29" s="25"/>
      <c r="AA29" s="24"/>
      <c r="AB29" s="25"/>
      <c r="AC29" s="24"/>
      <c r="AD29" s="24"/>
      <c r="AE29" s="81"/>
      <c r="AF29" s="81">
        <v>16.718181818181819</v>
      </c>
      <c r="AG29" s="25"/>
      <c r="AH29" s="24"/>
      <c r="AI29" s="81"/>
      <c r="AJ29" s="24"/>
      <c r="AK29" s="24"/>
      <c r="AL29" s="24"/>
      <c r="AM29" s="24"/>
      <c r="AN29" s="81"/>
      <c r="AO29" s="24"/>
      <c r="AP29" s="81"/>
      <c r="AQ29" s="24" t="s">
        <v>404</v>
      </c>
      <c r="AR29" s="29" t="s">
        <v>174</v>
      </c>
      <c r="AS29" s="29"/>
      <c r="AT29" s="29"/>
      <c r="AU29" s="29" t="s">
        <v>382</v>
      </c>
      <c r="AV29" s="29">
        <v>8</v>
      </c>
      <c r="AW29" s="29"/>
      <c r="AX29" s="29"/>
      <c r="AY29" s="29"/>
      <c r="AZ29" s="29" t="s">
        <v>361</v>
      </c>
      <c r="BA29" s="24"/>
      <c r="BB29" s="29">
        <v>0</v>
      </c>
      <c r="BC29" s="29">
        <v>15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>
        <v>12</v>
      </c>
      <c r="BO29" s="29" t="s">
        <v>174</v>
      </c>
      <c r="BP29" s="29"/>
      <c r="BQ29" s="29"/>
      <c r="BR29" s="29"/>
      <c r="BS29" s="24"/>
      <c r="BT29" s="24"/>
      <c r="BU29" s="29"/>
      <c r="BV29" s="29" t="s">
        <v>174</v>
      </c>
      <c r="BW29" s="30"/>
      <c r="BX29" s="66"/>
      <c r="BY29" s="67" t="s">
        <v>76</v>
      </c>
    </row>
    <row r="30" spans="1:77" x14ac:dyDescent="0.15">
      <c r="A30" s="33"/>
      <c r="B30" s="26">
        <v>42832</v>
      </c>
      <c r="C30" s="27" t="s">
        <v>377</v>
      </c>
      <c r="D30" s="68" t="s">
        <v>454</v>
      </c>
      <c r="E30" s="24"/>
      <c r="F30" s="24" t="s">
        <v>403</v>
      </c>
      <c r="G30" s="28">
        <v>42825</v>
      </c>
      <c r="H30" s="29" t="s">
        <v>175</v>
      </c>
      <c r="I30" s="29" t="s">
        <v>174</v>
      </c>
      <c r="J30" s="29"/>
      <c r="K30" s="24" t="s">
        <v>305</v>
      </c>
      <c r="L30" s="24" t="s">
        <v>631</v>
      </c>
      <c r="M30" s="81">
        <v>77.427272727272722</v>
      </c>
      <c r="N30" s="81">
        <v>31.418181818181818</v>
      </c>
      <c r="O30" s="24"/>
      <c r="P30" s="25"/>
      <c r="Q30" s="81"/>
      <c r="R30" s="25"/>
      <c r="S30" s="81"/>
      <c r="T30" s="25"/>
      <c r="U30" s="24"/>
      <c r="V30" s="81"/>
      <c r="W30" s="81"/>
      <c r="X30" s="24"/>
      <c r="Y30" s="24"/>
      <c r="Z30" s="25"/>
      <c r="AA30" s="24"/>
      <c r="AB30" s="25"/>
      <c r="AC30" s="24"/>
      <c r="AD30" s="24"/>
      <c r="AE30" s="81"/>
      <c r="AF30" s="81">
        <v>14.781818181818181</v>
      </c>
      <c r="AG30" s="25"/>
      <c r="AH30" s="24"/>
      <c r="AI30" s="81"/>
      <c r="AJ30" s="24"/>
      <c r="AK30" s="24"/>
      <c r="AL30" s="24"/>
      <c r="AM30" s="24"/>
      <c r="AN30" s="81"/>
      <c r="AO30" s="24"/>
      <c r="AP30" s="81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8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>
        <v>12</v>
      </c>
      <c r="BO30" s="29" t="s">
        <v>174</v>
      </c>
      <c r="BP30" s="29"/>
      <c r="BQ30" s="29">
        <v>12</v>
      </c>
      <c r="BR30" s="29"/>
      <c r="BS30" s="30"/>
      <c r="BT30" s="30"/>
      <c r="BU30" s="29"/>
      <c r="BV30" s="29" t="s">
        <v>174</v>
      </c>
      <c r="BW30" s="24"/>
      <c r="BY30" s="67" t="s">
        <v>76</v>
      </c>
    </row>
    <row r="31" spans="1:77" x14ac:dyDescent="0.15">
      <c r="A31" s="33">
        <v>5941</v>
      </c>
      <c r="B31" s="26">
        <v>42832</v>
      </c>
      <c r="C31" s="27" t="s">
        <v>377</v>
      </c>
      <c r="D31" s="68" t="s">
        <v>454</v>
      </c>
      <c r="E31" s="24"/>
      <c r="F31" s="24" t="s">
        <v>403</v>
      </c>
      <c r="G31" s="28">
        <v>42606</v>
      </c>
      <c r="H31" s="29" t="s">
        <v>175</v>
      </c>
      <c r="I31" s="29" t="s">
        <v>174</v>
      </c>
      <c r="J31" s="29"/>
      <c r="K31" s="24" t="s">
        <v>306</v>
      </c>
      <c r="L31" s="24" t="s">
        <v>525</v>
      </c>
      <c r="M31" s="81">
        <v>87.1</v>
      </c>
      <c r="N31" s="81">
        <v>35.099999999999994</v>
      </c>
      <c r="O31" s="24"/>
      <c r="P31" s="25"/>
      <c r="Q31" s="81"/>
      <c r="R31" s="25"/>
      <c r="S31" s="81"/>
      <c r="T31" s="24"/>
      <c r="U31" s="24"/>
      <c r="V31" s="81"/>
      <c r="W31" s="81"/>
      <c r="X31" s="24"/>
      <c r="Y31" s="24"/>
      <c r="Z31" s="24"/>
      <c r="AA31" s="24"/>
      <c r="AB31" s="24"/>
      <c r="AC31" s="24"/>
      <c r="AD31" s="24"/>
      <c r="AE31" s="81"/>
      <c r="AF31" s="81">
        <v>19.299999999999997</v>
      </c>
      <c r="AG31" s="25"/>
      <c r="AH31" s="24"/>
      <c r="AI31" s="81"/>
      <c r="AJ31" s="24"/>
      <c r="AK31" s="24"/>
      <c r="AL31" s="24"/>
      <c r="AM31" s="24"/>
      <c r="AN31" s="81"/>
      <c r="AO31" s="24"/>
      <c r="AP31" s="81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11.5</v>
      </c>
      <c r="AW31" s="29"/>
      <c r="AX31" s="29"/>
      <c r="AY31" s="29"/>
      <c r="AZ31" s="29" t="s">
        <v>361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/>
      <c r="BO31" s="29" t="s">
        <v>174</v>
      </c>
      <c r="BP31" s="29"/>
      <c r="BQ31" s="29"/>
      <c r="BR31" s="283"/>
      <c r="BS31" s="24"/>
      <c r="BT31" s="24"/>
      <c r="BU31" s="29"/>
      <c r="BV31" s="29" t="s">
        <v>174</v>
      </c>
      <c r="BW31" s="24"/>
      <c r="BY31" s="67" t="s">
        <v>605</v>
      </c>
    </row>
    <row r="32" spans="1:77" x14ac:dyDescent="0.15">
      <c r="A32" s="33"/>
      <c r="B32" s="26">
        <v>42832</v>
      </c>
      <c r="C32" s="27" t="s">
        <v>377</v>
      </c>
      <c r="D32" s="68" t="s">
        <v>454</v>
      </c>
      <c r="E32" s="24"/>
      <c r="F32" s="24" t="s">
        <v>403</v>
      </c>
      <c r="G32" s="31">
        <v>42647</v>
      </c>
      <c r="H32" s="29" t="s">
        <v>175</v>
      </c>
      <c r="I32" s="29" t="s">
        <v>174</v>
      </c>
      <c r="J32" s="29"/>
      <c r="K32" s="24" t="s">
        <v>307</v>
      </c>
      <c r="L32" s="24" t="s">
        <v>327</v>
      </c>
      <c r="M32" s="81">
        <v>92.054545454545448</v>
      </c>
      <c r="N32" s="81">
        <v>36.072727272727271</v>
      </c>
      <c r="O32" s="24"/>
      <c r="P32" s="25"/>
      <c r="Q32" s="81"/>
      <c r="R32" s="25"/>
      <c r="S32" s="81"/>
      <c r="T32" s="25"/>
      <c r="U32" s="24"/>
      <c r="V32" s="81"/>
      <c r="W32" s="81"/>
      <c r="X32" s="24"/>
      <c r="Y32" s="24"/>
      <c r="Z32" s="24"/>
      <c r="AA32" s="24"/>
      <c r="AB32" s="24"/>
      <c r="AC32" s="24"/>
      <c r="AD32" s="24"/>
      <c r="AE32" s="81"/>
      <c r="AF32" s="81">
        <v>17.172727272727272</v>
      </c>
      <c r="AG32" s="25"/>
      <c r="AH32" s="24"/>
      <c r="AI32" s="81"/>
      <c r="AJ32" s="24"/>
      <c r="AK32" s="24"/>
      <c r="AL32" s="24"/>
      <c r="AM32" s="24"/>
      <c r="AN32" s="81"/>
      <c r="AO32" s="24"/>
      <c r="AP32" s="81"/>
      <c r="AQ32" s="24" t="s">
        <v>404</v>
      </c>
      <c r="AR32" s="29" t="s">
        <v>174</v>
      </c>
      <c r="AS32" s="29"/>
      <c r="AT32" s="29"/>
      <c r="AU32" s="29" t="s">
        <v>382</v>
      </c>
      <c r="AV32" s="29">
        <v>10</v>
      </c>
      <c r="AW32" s="29"/>
      <c r="AX32" s="29"/>
      <c r="AY32" s="29"/>
      <c r="AZ32" s="29" t="s">
        <v>174</v>
      </c>
      <c r="BA32" s="24"/>
      <c r="BB32" s="29">
        <v>11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74" t="s">
        <v>174</v>
      </c>
      <c r="BN32" s="29"/>
      <c r="BO32" s="29" t="s">
        <v>174</v>
      </c>
      <c r="BP32" s="29"/>
      <c r="BQ32" s="29"/>
      <c r="BR32" s="29"/>
      <c r="BS32" s="30"/>
      <c r="BT32" s="30"/>
      <c r="BU32" s="29"/>
      <c r="BV32" s="29" t="s">
        <v>174</v>
      </c>
      <c r="BW32" s="24"/>
      <c r="BY32" s="67" t="s">
        <v>648</v>
      </c>
    </row>
    <row r="33" spans="1:77" x14ac:dyDescent="0.15">
      <c r="A33" s="33">
        <v>5632</v>
      </c>
      <c r="B33" s="26">
        <v>42832</v>
      </c>
      <c r="C33" s="27" t="s">
        <v>377</v>
      </c>
      <c r="D33" s="68" t="s">
        <v>454</v>
      </c>
      <c r="E33" s="24"/>
      <c r="F33" s="24" t="s">
        <v>403</v>
      </c>
      <c r="G33" s="31">
        <v>42551</v>
      </c>
      <c r="H33" s="74" t="s">
        <v>175</v>
      </c>
      <c r="I33" s="74" t="s">
        <v>174</v>
      </c>
      <c r="J33" s="29"/>
      <c r="K33" s="24" t="s">
        <v>495</v>
      </c>
      <c r="L33" s="68" t="s">
        <v>529</v>
      </c>
      <c r="M33" s="81">
        <v>120.68181818181817</v>
      </c>
      <c r="N33" s="81">
        <v>33.790909090909089</v>
      </c>
      <c r="O33" s="24"/>
      <c r="P33" s="25"/>
      <c r="Q33" s="81"/>
      <c r="R33" s="25"/>
      <c r="S33" s="81"/>
      <c r="T33" s="24"/>
      <c r="U33" s="24"/>
      <c r="V33" s="81"/>
      <c r="W33" s="81"/>
      <c r="X33" s="24"/>
      <c r="Y33" s="24"/>
      <c r="Z33" s="24"/>
      <c r="AA33" s="24"/>
      <c r="AB33" s="24"/>
      <c r="AC33" s="24"/>
      <c r="AD33" s="24"/>
      <c r="AE33" s="81"/>
      <c r="AF33" s="81">
        <v>16.40909090909091</v>
      </c>
      <c r="AG33" s="25"/>
      <c r="AH33" s="24"/>
      <c r="AI33" s="81"/>
      <c r="AJ33" s="24"/>
      <c r="AK33" s="24"/>
      <c r="AL33" s="24"/>
      <c r="AM33" s="24"/>
      <c r="AN33" s="81"/>
      <c r="AO33" s="24"/>
      <c r="AP33" s="81"/>
      <c r="AQ33" s="24" t="s">
        <v>404</v>
      </c>
      <c r="AR33" s="29" t="s">
        <v>174</v>
      </c>
      <c r="AS33" s="29"/>
      <c r="AT33" s="29"/>
      <c r="AU33" s="74" t="s">
        <v>382</v>
      </c>
      <c r="AV33" s="29">
        <v>7.5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6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9"/>
      <c r="BS33" s="30"/>
      <c r="BT33" s="30"/>
      <c r="BU33" s="29"/>
      <c r="BV33" s="29" t="s">
        <v>174</v>
      </c>
      <c r="BW33" s="24">
        <v>1</v>
      </c>
      <c r="BY33" s="32" t="s">
        <v>591</v>
      </c>
    </row>
    <row r="34" spans="1:77" x14ac:dyDescent="0.15">
      <c r="A34" s="33">
        <v>6121</v>
      </c>
      <c r="B34" s="26">
        <v>42832</v>
      </c>
      <c r="C34" s="27" t="s">
        <v>377</v>
      </c>
      <c r="D34" s="68" t="s">
        <v>454</v>
      </c>
      <c r="E34" s="24"/>
      <c r="F34" s="24" t="s">
        <v>403</v>
      </c>
      <c r="G34" s="28">
        <v>42614</v>
      </c>
      <c r="H34" s="29" t="s">
        <v>175</v>
      </c>
      <c r="I34" s="29" t="s">
        <v>174</v>
      </c>
      <c r="J34" s="29"/>
      <c r="K34" s="68" t="s">
        <v>594</v>
      </c>
      <c r="L34" s="68" t="s">
        <v>595</v>
      </c>
      <c r="M34" s="81">
        <v>64.554545454545448</v>
      </c>
      <c r="N34" s="81">
        <v>26.36363636363636</v>
      </c>
      <c r="O34" s="24"/>
      <c r="P34" s="25"/>
      <c r="Q34" s="81"/>
      <c r="R34" s="25"/>
      <c r="S34" s="81"/>
      <c r="T34" s="25"/>
      <c r="U34" s="24"/>
      <c r="V34" s="81"/>
      <c r="W34" s="81"/>
      <c r="X34" s="25"/>
      <c r="Y34" s="24"/>
      <c r="Z34" s="25"/>
      <c r="AA34" s="24"/>
      <c r="AB34" s="25"/>
      <c r="AC34" s="24"/>
      <c r="AD34" s="24"/>
      <c r="AE34" s="81"/>
      <c r="AF34" s="81">
        <v>16.363636363636363</v>
      </c>
      <c r="AG34" s="25"/>
      <c r="AH34" s="24"/>
      <c r="AI34" s="81"/>
      <c r="AJ34" s="24"/>
      <c r="AK34" s="24"/>
      <c r="AL34" s="24"/>
      <c r="AM34" s="24"/>
      <c r="AN34" s="81"/>
      <c r="AO34" s="24"/>
      <c r="AP34" s="81"/>
      <c r="AQ34" s="24" t="s">
        <v>404</v>
      </c>
      <c r="AR34" s="29" t="s">
        <v>174</v>
      </c>
      <c r="AS34" s="29"/>
      <c r="AT34" s="29"/>
      <c r="AU34" s="29" t="s">
        <v>382</v>
      </c>
      <c r="AV34" s="29">
        <v>16</v>
      </c>
      <c r="AW34" s="29"/>
      <c r="AX34" s="29"/>
      <c r="AY34" s="29"/>
      <c r="AZ34" s="29" t="s">
        <v>361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91">
        <v>218.07272727272721</v>
      </c>
      <c r="BQ34" s="29"/>
      <c r="BR34" s="283">
        <v>42915</v>
      </c>
      <c r="BS34" s="24"/>
      <c r="BT34" s="24"/>
      <c r="BU34" s="29"/>
      <c r="BV34" s="29" t="s">
        <v>174</v>
      </c>
      <c r="BW34" s="68"/>
      <c r="BX34" t="s">
        <v>636</v>
      </c>
      <c r="BY34" s="32" t="s">
        <v>649</v>
      </c>
    </row>
    <row r="35" spans="1:77" x14ac:dyDescent="0.15">
      <c r="A35" s="33"/>
      <c r="B35" s="26">
        <v>42832</v>
      </c>
      <c r="C35" s="27" t="s">
        <v>377</v>
      </c>
      <c r="D35" s="68" t="s">
        <v>454</v>
      </c>
      <c r="E35" s="24"/>
      <c r="F35" s="24" t="s">
        <v>403</v>
      </c>
      <c r="G35" s="28">
        <v>42587</v>
      </c>
      <c r="H35" s="29" t="s">
        <v>175</v>
      </c>
      <c r="I35" s="29" t="s">
        <v>174</v>
      </c>
      <c r="J35" s="29"/>
      <c r="K35" s="24" t="s">
        <v>597</v>
      </c>
      <c r="L35" s="24" t="s">
        <v>638</v>
      </c>
      <c r="M35" s="81">
        <v>85.799999999999983</v>
      </c>
      <c r="N35" s="81">
        <v>30.418181818181818</v>
      </c>
      <c r="O35" s="24"/>
      <c r="P35" s="25"/>
      <c r="Q35" s="81"/>
      <c r="R35" s="25"/>
      <c r="S35" s="81"/>
      <c r="T35" s="25"/>
      <c r="U35" s="24"/>
      <c r="V35" s="81"/>
      <c r="W35" s="81"/>
      <c r="X35" s="25"/>
      <c r="Y35" s="24"/>
      <c r="Z35" s="25"/>
      <c r="AA35" s="24"/>
      <c r="AB35" s="25"/>
      <c r="AC35" s="24"/>
      <c r="AD35" s="24"/>
      <c r="AE35" s="81"/>
      <c r="AF35" s="81">
        <v>15.618181818181817</v>
      </c>
      <c r="AG35" s="25"/>
      <c r="AH35" s="24"/>
      <c r="AI35" s="81"/>
      <c r="AJ35" s="24"/>
      <c r="AK35" s="24"/>
      <c r="AL35" s="24"/>
      <c r="AM35" s="24"/>
      <c r="AN35" s="81"/>
      <c r="AO35" s="24"/>
      <c r="AP35" s="81"/>
      <c r="AQ35" s="24" t="s">
        <v>404</v>
      </c>
      <c r="AR35" s="29" t="s">
        <v>174</v>
      </c>
      <c r="AS35" s="29"/>
      <c r="AT35" s="29"/>
      <c r="AU35" s="29" t="s">
        <v>382</v>
      </c>
      <c r="AV35" s="29">
        <v>4</v>
      </c>
      <c r="AW35" s="29"/>
      <c r="AX35" s="29"/>
      <c r="AY35" s="29"/>
      <c r="AZ35" s="29" t="s">
        <v>174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>
        <v>12</v>
      </c>
      <c r="BO35" s="29" t="s">
        <v>174</v>
      </c>
      <c r="BP35" s="29"/>
      <c r="BQ35" s="29"/>
      <c r="BR35" s="29"/>
      <c r="BS35" s="30"/>
      <c r="BT35" s="30"/>
      <c r="BU35" s="29"/>
      <c r="BV35" s="29" t="s">
        <v>174</v>
      </c>
      <c r="BW35" s="24"/>
      <c r="BY35" s="67" t="s">
        <v>650</v>
      </c>
    </row>
    <row r="36" spans="1:77" x14ac:dyDescent="0.15">
      <c r="A36" s="33"/>
      <c r="B36" s="26">
        <v>42832</v>
      </c>
      <c r="C36" s="27" t="s">
        <v>377</v>
      </c>
      <c r="D36" s="68" t="s">
        <v>454</v>
      </c>
      <c r="E36" s="24"/>
      <c r="F36" s="24" t="s">
        <v>403</v>
      </c>
      <c r="G36" s="28">
        <v>42694</v>
      </c>
      <c r="H36" s="74" t="s">
        <v>175</v>
      </c>
      <c r="I36" s="74" t="s">
        <v>174</v>
      </c>
      <c r="J36" s="29"/>
      <c r="K36" s="68" t="s">
        <v>676</v>
      </c>
      <c r="L36" s="68" t="s">
        <v>677</v>
      </c>
      <c r="M36" s="81">
        <v>75</v>
      </c>
      <c r="N36" s="81">
        <v>36.381818181818183</v>
      </c>
      <c r="O36" s="24"/>
      <c r="P36" s="25"/>
      <c r="Q36" s="81"/>
      <c r="R36" s="25"/>
      <c r="S36" s="81"/>
      <c r="T36" s="25"/>
      <c r="U36" s="24"/>
      <c r="V36" s="81"/>
      <c r="W36" s="81"/>
      <c r="X36" s="25"/>
      <c r="Y36" s="24"/>
      <c r="Z36" s="25"/>
      <c r="AA36" s="24"/>
      <c r="AB36" s="25"/>
      <c r="AC36" s="24"/>
      <c r="AD36" s="24"/>
      <c r="AE36" s="81"/>
      <c r="AF36" s="81">
        <v>23.990909090909089</v>
      </c>
      <c r="AG36" s="25"/>
      <c r="AH36" s="24"/>
      <c r="AI36" s="81"/>
      <c r="AJ36" s="24"/>
      <c r="AK36" s="24"/>
      <c r="AL36" s="24"/>
      <c r="AM36" s="24"/>
      <c r="AN36" s="81"/>
      <c r="AO36" s="24"/>
      <c r="AP36" s="81"/>
      <c r="AQ36" s="24" t="s">
        <v>404</v>
      </c>
      <c r="AR36" s="29" t="s">
        <v>174</v>
      </c>
      <c r="AS36" s="29"/>
      <c r="AT36" s="29"/>
      <c r="AU36" s="29" t="s">
        <v>382</v>
      </c>
      <c r="AV36" s="29">
        <v>6</v>
      </c>
      <c r="AW36" s="29"/>
      <c r="AX36" s="29"/>
      <c r="AY36" s="29"/>
      <c r="AZ36" s="74" t="s">
        <v>361</v>
      </c>
      <c r="BA36" s="24"/>
      <c r="BB36" s="29">
        <v>0</v>
      </c>
      <c r="BC36" s="29">
        <v>15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74" t="s">
        <v>174</v>
      </c>
      <c r="BN36" s="29"/>
      <c r="BO36" s="29" t="s">
        <v>174</v>
      </c>
      <c r="BP36" s="29"/>
      <c r="BQ36" s="29"/>
      <c r="BR36" s="29"/>
      <c r="BS36" s="30"/>
      <c r="BT36" s="30"/>
      <c r="BU36" s="29"/>
      <c r="BV36" s="29" t="s">
        <v>174</v>
      </c>
      <c r="BW36" s="24"/>
      <c r="BX36" s="266" t="s">
        <v>679</v>
      </c>
      <c r="BY36" s="67" t="s">
        <v>76</v>
      </c>
    </row>
    <row r="37" spans="1:77" x14ac:dyDescent="0.15">
      <c r="A37" s="33"/>
      <c r="B37" s="26">
        <v>42832</v>
      </c>
      <c r="C37" s="27" t="s">
        <v>377</v>
      </c>
      <c r="D37" s="68" t="s">
        <v>454</v>
      </c>
      <c r="E37" s="24"/>
      <c r="F37" s="24" t="s">
        <v>403</v>
      </c>
      <c r="G37" s="28">
        <v>42657</v>
      </c>
      <c r="H37" s="74" t="s">
        <v>175</v>
      </c>
      <c r="I37" s="74" t="s">
        <v>174</v>
      </c>
      <c r="J37" s="29"/>
      <c r="K37" s="68" t="s">
        <v>691</v>
      </c>
      <c r="L37" s="68" t="s">
        <v>692</v>
      </c>
      <c r="M37" s="81">
        <v>93</v>
      </c>
      <c r="N37" s="81">
        <v>26.8</v>
      </c>
      <c r="O37" s="24"/>
      <c r="P37" s="25"/>
      <c r="Q37" s="81"/>
      <c r="R37" s="25"/>
      <c r="S37" s="81"/>
      <c r="T37" s="25"/>
      <c r="U37" s="24"/>
      <c r="V37" s="81"/>
      <c r="W37" s="81"/>
      <c r="X37" s="25"/>
      <c r="Y37" s="24"/>
      <c r="Z37" s="25"/>
      <c r="AA37" s="24"/>
      <c r="AB37" s="25"/>
      <c r="AC37" s="24"/>
      <c r="AD37" s="24"/>
      <c r="AE37" s="81"/>
      <c r="AF37" s="81">
        <v>16</v>
      </c>
      <c r="AG37" s="25"/>
      <c r="AH37" s="24"/>
      <c r="AI37" s="81"/>
      <c r="AJ37" s="24"/>
      <c r="AK37" s="24"/>
      <c r="AL37" s="24"/>
      <c r="AM37" s="24"/>
      <c r="AN37" s="81"/>
      <c r="AO37" s="24"/>
      <c r="AP37" s="81"/>
      <c r="AQ37" s="24" t="s">
        <v>404</v>
      </c>
      <c r="AR37" s="29" t="s">
        <v>174</v>
      </c>
      <c r="AS37" s="29"/>
      <c r="AT37" s="29"/>
      <c r="AU37" s="29" t="s">
        <v>382</v>
      </c>
      <c r="AV37" s="29">
        <v>5</v>
      </c>
      <c r="AW37" s="29"/>
      <c r="AX37" s="29"/>
      <c r="AY37" s="29"/>
      <c r="AZ37" s="74" t="s">
        <v>361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74" t="s">
        <v>174</v>
      </c>
      <c r="BN37" s="29"/>
      <c r="BO37" s="29" t="s">
        <v>174</v>
      </c>
      <c r="BP37" s="29"/>
      <c r="BQ37" s="29"/>
      <c r="BR37" s="29"/>
      <c r="BS37" s="30"/>
      <c r="BT37" s="30"/>
      <c r="BU37" s="29"/>
      <c r="BV37" s="29" t="s">
        <v>174</v>
      </c>
      <c r="BW37" s="24">
        <v>1</v>
      </c>
      <c r="BX37" s="308"/>
      <c r="BY37" s="67" t="s">
        <v>694</v>
      </c>
    </row>
    <row r="38" spans="1:77" x14ac:dyDescent="0.15">
      <c r="A38" s="33"/>
      <c r="B38" s="26">
        <v>42832</v>
      </c>
      <c r="C38" s="27" t="s">
        <v>377</v>
      </c>
      <c r="D38" s="68" t="s">
        <v>454</v>
      </c>
      <c r="E38" s="24"/>
      <c r="F38" s="24" t="s">
        <v>403</v>
      </c>
      <c r="G38" s="28">
        <v>42704</v>
      </c>
      <c r="H38" s="74" t="s">
        <v>175</v>
      </c>
      <c r="I38" s="74" t="s">
        <v>174</v>
      </c>
      <c r="J38" s="74"/>
      <c r="K38" s="68" t="s">
        <v>705</v>
      </c>
      <c r="L38" s="68" t="s">
        <v>706</v>
      </c>
      <c r="M38" s="81">
        <v>75</v>
      </c>
      <c r="N38" s="81">
        <v>30.7</v>
      </c>
      <c r="O38" s="24"/>
      <c r="P38" s="25"/>
      <c r="Q38" s="81"/>
      <c r="R38" s="25"/>
      <c r="S38" s="81"/>
      <c r="T38" s="25"/>
      <c r="U38" s="24"/>
      <c r="V38" s="81"/>
      <c r="W38" s="81"/>
      <c r="X38" s="25"/>
      <c r="Y38" s="24"/>
      <c r="Z38" s="25"/>
      <c r="AA38" s="24"/>
      <c r="AB38" s="25"/>
      <c r="AC38" s="24"/>
      <c r="AD38" s="24"/>
      <c r="AE38" s="81"/>
      <c r="AF38" s="81">
        <v>16.25</v>
      </c>
      <c r="AG38" s="25"/>
      <c r="AH38" s="24"/>
      <c r="AI38" s="81"/>
      <c r="AJ38" s="24"/>
      <c r="AK38" s="24"/>
      <c r="AL38" s="24"/>
      <c r="AM38" s="24"/>
      <c r="AN38" s="81"/>
      <c r="AO38" s="24"/>
      <c r="AP38" s="81"/>
      <c r="AQ38" s="24" t="s">
        <v>404</v>
      </c>
      <c r="AR38" s="29" t="s">
        <v>174</v>
      </c>
      <c r="AS38" s="29"/>
      <c r="AT38" s="29"/>
      <c r="AU38" s="29"/>
      <c r="AV38" s="29"/>
      <c r="AW38" s="29"/>
      <c r="AX38" s="29"/>
      <c r="AY38" s="29"/>
      <c r="AZ38" s="74" t="s">
        <v>174</v>
      </c>
      <c r="BA38" s="24"/>
      <c r="BB38" s="29">
        <v>0</v>
      </c>
      <c r="BC38" s="29">
        <v>5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74" t="s">
        <v>174</v>
      </c>
      <c r="BN38" s="29"/>
      <c r="BO38" s="74" t="s">
        <v>174</v>
      </c>
      <c r="BP38" s="29"/>
      <c r="BQ38" s="29"/>
      <c r="BR38" s="29"/>
      <c r="BS38" s="24"/>
      <c r="BT38" s="24"/>
      <c r="BU38" s="29"/>
      <c r="BV38" s="74" t="s">
        <v>174</v>
      </c>
      <c r="BW38" s="24"/>
      <c r="BX38" s="308"/>
      <c r="BY38" s="269" t="s">
        <v>718</v>
      </c>
    </row>
    <row r="39" spans="1:77" x14ac:dyDescent="0.15">
      <c r="A39" s="33"/>
      <c r="B39" s="26">
        <v>42832</v>
      </c>
      <c r="C39" s="27" t="s">
        <v>377</v>
      </c>
      <c r="D39" s="68" t="s">
        <v>454</v>
      </c>
      <c r="E39" s="24"/>
      <c r="F39" s="24" t="s">
        <v>403</v>
      </c>
      <c r="G39" s="28">
        <v>43047</v>
      </c>
      <c r="H39" s="74" t="s">
        <v>175</v>
      </c>
      <c r="I39" s="74" t="s">
        <v>174</v>
      </c>
      <c r="J39" s="74"/>
      <c r="K39" s="68" t="s">
        <v>708</v>
      </c>
      <c r="L39" s="68" t="s">
        <v>709</v>
      </c>
      <c r="M39" s="81">
        <v>82</v>
      </c>
      <c r="N39" s="81">
        <v>36.199999999999996</v>
      </c>
      <c r="O39" s="24"/>
      <c r="P39" s="25"/>
      <c r="Q39" s="81"/>
      <c r="R39" s="25"/>
      <c r="S39" s="81"/>
      <c r="T39" s="25"/>
      <c r="U39" s="24"/>
      <c r="V39" s="81"/>
      <c r="W39" s="81"/>
      <c r="X39" s="25"/>
      <c r="Y39" s="24"/>
      <c r="Z39" s="25"/>
      <c r="AA39" s="24"/>
      <c r="AB39" s="25"/>
      <c r="AC39" s="24"/>
      <c r="AD39" s="24"/>
      <c r="AE39" s="81"/>
      <c r="AF39" s="81">
        <v>16.68</v>
      </c>
      <c r="AG39" s="25"/>
      <c r="AH39" s="24"/>
      <c r="AI39" s="81"/>
      <c r="AJ39" s="24"/>
      <c r="AK39" s="24"/>
      <c r="AL39" s="24"/>
      <c r="AM39" s="24"/>
      <c r="AN39" s="81"/>
      <c r="AO39" s="24"/>
      <c r="AP39" s="81"/>
      <c r="AQ39" s="24" t="s">
        <v>404</v>
      </c>
      <c r="AR39" s="29" t="s">
        <v>174</v>
      </c>
      <c r="AS39" s="29"/>
      <c r="AT39" s="29"/>
      <c r="AU39" s="29" t="s">
        <v>382</v>
      </c>
      <c r="AV39" s="29">
        <v>8</v>
      </c>
      <c r="AW39" s="29"/>
      <c r="AX39" s="29"/>
      <c r="AY39" s="29"/>
      <c r="AZ39" s="74" t="s">
        <v>174</v>
      </c>
      <c r="BA39" s="24"/>
      <c r="BB39" s="29">
        <v>4</v>
      </c>
      <c r="BC39" s="29">
        <v>0</v>
      </c>
      <c r="BD39" s="29">
        <v>10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74" t="s">
        <v>174</v>
      </c>
      <c r="BN39" s="29"/>
      <c r="BO39" s="74" t="s">
        <v>174</v>
      </c>
      <c r="BP39" s="29"/>
      <c r="BQ39" s="29"/>
      <c r="BR39" s="29"/>
      <c r="BS39" s="24"/>
      <c r="BT39" s="24"/>
      <c r="BU39" s="29"/>
      <c r="BV39" s="74" t="s">
        <v>174</v>
      </c>
      <c r="BW39" s="24">
        <v>1</v>
      </c>
      <c r="BX39" s="308"/>
      <c r="BY39" s="269" t="s">
        <v>717</v>
      </c>
    </row>
    <row r="40" spans="1:77" x14ac:dyDescent="0.15">
      <c r="A40" s="33">
        <v>4252</v>
      </c>
      <c r="B40" s="26">
        <v>42832</v>
      </c>
      <c r="C40" s="27" t="s">
        <v>377</v>
      </c>
      <c r="D40" s="68" t="s">
        <v>454</v>
      </c>
      <c r="E40" s="24"/>
      <c r="F40" s="24" t="s">
        <v>417</v>
      </c>
      <c r="G40" s="28">
        <v>42825</v>
      </c>
      <c r="H40" s="29" t="s">
        <v>175</v>
      </c>
      <c r="I40" s="29" t="s">
        <v>174</v>
      </c>
      <c r="J40" s="29"/>
      <c r="K40" s="24" t="s">
        <v>296</v>
      </c>
      <c r="L40" s="24" t="s">
        <v>510</v>
      </c>
      <c r="M40" s="81">
        <v>76.536363636363632</v>
      </c>
      <c r="N40" s="81">
        <v>33.309090909090905</v>
      </c>
      <c r="O40" s="24"/>
      <c r="P40" s="25"/>
      <c r="Q40" s="81"/>
      <c r="R40" s="25"/>
      <c r="S40" s="81"/>
      <c r="T40" s="25"/>
      <c r="U40" s="24"/>
      <c r="V40" s="81"/>
      <c r="W40" s="81">
        <v>21.499999999999996</v>
      </c>
      <c r="X40" s="25"/>
      <c r="Y40" s="24"/>
      <c r="Z40" s="25"/>
      <c r="AA40" s="24"/>
      <c r="AB40" s="25"/>
      <c r="AC40" s="24"/>
      <c r="AD40" s="24"/>
      <c r="AE40" s="81"/>
      <c r="AF40" s="81"/>
      <c r="AG40" s="25"/>
      <c r="AH40" s="24"/>
      <c r="AI40" s="81"/>
      <c r="AJ40" s="24"/>
      <c r="AK40" s="24"/>
      <c r="AL40" s="24"/>
      <c r="AM40" s="24"/>
      <c r="AN40" s="81"/>
      <c r="AO40" s="24"/>
      <c r="AP40" s="81"/>
      <c r="AQ40" s="24" t="s">
        <v>418</v>
      </c>
      <c r="AR40" s="29" t="s">
        <v>174</v>
      </c>
      <c r="AS40" s="29"/>
      <c r="AT40" s="29"/>
      <c r="AU40" s="29" t="s">
        <v>382</v>
      </c>
      <c r="AV40" s="29">
        <v>8</v>
      </c>
      <c r="AW40" s="29"/>
      <c r="AX40" s="29"/>
      <c r="AY40" s="29"/>
      <c r="AZ40" s="29" t="s">
        <v>361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174</v>
      </c>
      <c r="BN40" s="29">
        <v>12</v>
      </c>
      <c r="BO40" s="29" t="s">
        <v>174</v>
      </c>
      <c r="BP40" s="29"/>
      <c r="BQ40" s="29">
        <v>12</v>
      </c>
      <c r="BR40" s="29"/>
      <c r="BS40" s="30"/>
      <c r="BT40" s="30"/>
      <c r="BU40" s="29"/>
      <c r="BV40" s="29" t="s">
        <v>174</v>
      </c>
      <c r="BW40" s="24"/>
      <c r="BX40" s="66"/>
      <c r="BY40" s="67" t="s">
        <v>651</v>
      </c>
    </row>
    <row r="41" spans="1:77" x14ac:dyDescent="0.15">
      <c r="A41" s="33">
        <v>5551</v>
      </c>
      <c r="B41" s="26">
        <v>42832</v>
      </c>
      <c r="C41" s="27" t="s">
        <v>377</v>
      </c>
      <c r="D41" s="68" t="s">
        <v>454</v>
      </c>
      <c r="E41" s="24"/>
      <c r="F41" s="24" t="s">
        <v>417</v>
      </c>
      <c r="G41" s="31">
        <v>43054</v>
      </c>
      <c r="H41" s="29" t="s">
        <v>175</v>
      </c>
      <c r="I41" s="29" t="s">
        <v>174</v>
      </c>
      <c r="J41" s="29"/>
      <c r="K41" s="24" t="s">
        <v>297</v>
      </c>
      <c r="L41" s="24" t="s">
        <v>511</v>
      </c>
      <c r="M41" s="81">
        <v>90.5</v>
      </c>
      <c r="N41" s="81">
        <v>38.572727272727271</v>
      </c>
      <c r="O41" s="24"/>
      <c r="P41" s="25"/>
      <c r="Q41" s="81"/>
      <c r="R41" s="25"/>
      <c r="S41" s="81"/>
      <c r="T41" s="25"/>
      <c r="U41" s="24"/>
      <c r="V41" s="81"/>
      <c r="W41" s="81">
        <v>23.027272727272724</v>
      </c>
      <c r="X41" s="24"/>
      <c r="Y41" s="24"/>
      <c r="Z41" s="24"/>
      <c r="AA41" s="24"/>
      <c r="AB41" s="24"/>
      <c r="AC41" s="24"/>
      <c r="AD41" s="24"/>
      <c r="AE41" s="81"/>
      <c r="AF41" s="81"/>
      <c r="AG41" s="25"/>
      <c r="AH41" s="24"/>
      <c r="AI41" s="81"/>
      <c r="AJ41" s="24"/>
      <c r="AK41" s="24"/>
      <c r="AL41" s="24"/>
      <c r="AM41" s="24"/>
      <c r="AN41" s="81"/>
      <c r="AO41" s="24"/>
      <c r="AP41" s="81"/>
      <c r="AQ41" s="24" t="s">
        <v>418</v>
      </c>
      <c r="AR41" s="29" t="s">
        <v>174</v>
      </c>
      <c r="AS41" s="29"/>
      <c r="AT41" s="29"/>
      <c r="AU41" s="29" t="s">
        <v>382</v>
      </c>
      <c r="AV41" s="29">
        <v>9.5</v>
      </c>
      <c r="AW41" s="29"/>
      <c r="AX41" s="29"/>
      <c r="AY41" s="29"/>
      <c r="AZ41" s="29" t="s">
        <v>174</v>
      </c>
      <c r="BA41" s="24"/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/>
      <c r="BO41" s="29" t="s">
        <v>174</v>
      </c>
      <c r="BP41" s="29"/>
      <c r="BQ41" s="29"/>
      <c r="BR41" s="29"/>
      <c r="BS41" s="24"/>
      <c r="BT41" s="24"/>
      <c r="BU41" s="29"/>
      <c r="BV41" s="29" t="s">
        <v>174</v>
      </c>
      <c r="BW41" s="68">
        <v>1</v>
      </c>
      <c r="BX41" s="66"/>
      <c r="BY41" s="67" t="s">
        <v>696</v>
      </c>
    </row>
    <row r="42" spans="1:77" x14ac:dyDescent="0.15">
      <c r="A42" s="33">
        <v>5771</v>
      </c>
      <c r="B42" s="26">
        <v>42832</v>
      </c>
      <c r="C42" s="27" t="s">
        <v>377</v>
      </c>
      <c r="D42" s="68" t="s">
        <v>454</v>
      </c>
      <c r="E42" s="24"/>
      <c r="F42" s="24" t="s">
        <v>417</v>
      </c>
      <c r="G42" s="28">
        <v>42643</v>
      </c>
      <c r="H42" s="29" t="s">
        <v>175</v>
      </c>
      <c r="I42" s="29" t="s">
        <v>174</v>
      </c>
      <c r="J42" s="29"/>
      <c r="K42" s="24" t="s">
        <v>300</v>
      </c>
      <c r="L42" s="24" t="s">
        <v>517</v>
      </c>
      <c r="M42" s="81">
        <v>99.5</v>
      </c>
      <c r="N42" s="81">
        <v>41.9</v>
      </c>
      <c r="O42" s="24" t="s">
        <v>518</v>
      </c>
      <c r="P42" s="25">
        <v>1000</v>
      </c>
      <c r="Q42" s="81">
        <v>42.599999999999994</v>
      </c>
      <c r="R42" s="25">
        <v>1500</v>
      </c>
      <c r="S42" s="81">
        <v>44.9</v>
      </c>
      <c r="T42" s="25"/>
      <c r="U42" s="24"/>
      <c r="V42" s="81"/>
      <c r="W42" s="81">
        <v>27.954545454545453</v>
      </c>
      <c r="X42" s="24"/>
      <c r="Y42" s="24"/>
      <c r="Z42" s="24"/>
      <c r="AA42" s="24"/>
      <c r="AB42" s="24"/>
      <c r="AC42" s="24"/>
      <c r="AD42" s="24"/>
      <c r="AE42" s="81"/>
      <c r="AF42" s="81"/>
      <c r="AG42" s="25"/>
      <c r="AH42" s="24"/>
      <c r="AI42" s="81"/>
      <c r="AJ42" s="24"/>
      <c r="AK42" s="24"/>
      <c r="AL42" s="24"/>
      <c r="AM42" s="24"/>
      <c r="AN42" s="81"/>
      <c r="AO42" s="24"/>
      <c r="AP42" s="81"/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10.199999999999999</v>
      </c>
      <c r="AW42" s="29"/>
      <c r="AX42" s="29"/>
      <c r="AY42" s="29"/>
      <c r="AZ42" s="29" t="s">
        <v>361</v>
      </c>
      <c r="BA42" s="24"/>
      <c r="BB42" s="29">
        <v>0</v>
      </c>
      <c r="BC42" s="29">
        <v>0</v>
      </c>
      <c r="BD42" s="29">
        <v>7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/>
      <c r="BO42" s="29" t="s">
        <v>174</v>
      </c>
      <c r="BP42" s="29"/>
      <c r="BQ42" s="29"/>
      <c r="BR42" s="29"/>
      <c r="BS42" s="24"/>
      <c r="BT42" s="24"/>
      <c r="BU42" s="29"/>
      <c r="BV42" s="29" t="s">
        <v>174</v>
      </c>
      <c r="BW42" s="24"/>
      <c r="BY42" s="32" t="s">
        <v>655</v>
      </c>
    </row>
    <row r="43" spans="1:77" x14ac:dyDescent="0.15">
      <c r="A43" s="33">
        <v>5269</v>
      </c>
      <c r="B43" s="26">
        <v>42832</v>
      </c>
      <c r="C43" s="27" t="s">
        <v>377</v>
      </c>
      <c r="D43" s="68" t="s">
        <v>454</v>
      </c>
      <c r="E43" s="24"/>
      <c r="F43" s="24" t="s">
        <v>417</v>
      </c>
      <c r="G43" s="28">
        <v>42735</v>
      </c>
      <c r="H43" s="29" t="s">
        <v>175</v>
      </c>
      <c r="I43" s="29" t="s">
        <v>174</v>
      </c>
      <c r="J43" s="29"/>
      <c r="K43" s="24" t="s">
        <v>301</v>
      </c>
      <c r="L43" s="24" t="s">
        <v>520</v>
      </c>
      <c r="M43" s="81">
        <v>99.6</v>
      </c>
      <c r="N43" s="81">
        <v>42.509090909090901</v>
      </c>
      <c r="O43" s="24"/>
      <c r="P43" s="25"/>
      <c r="Q43" s="81"/>
      <c r="R43" s="25"/>
      <c r="S43" s="81"/>
      <c r="T43" s="25"/>
      <c r="U43" s="24"/>
      <c r="V43" s="81"/>
      <c r="W43" s="81">
        <v>19.936363636363634</v>
      </c>
      <c r="X43" s="25"/>
      <c r="Y43" s="24"/>
      <c r="Z43" s="25"/>
      <c r="AA43" s="24"/>
      <c r="AB43" s="25"/>
      <c r="AC43" s="24"/>
      <c r="AD43" s="24"/>
      <c r="AE43" s="81"/>
      <c r="AF43" s="81"/>
      <c r="AG43" s="25"/>
      <c r="AH43" s="24"/>
      <c r="AI43" s="81"/>
      <c r="AJ43" s="24"/>
      <c r="AK43" s="24"/>
      <c r="AL43" s="24"/>
      <c r="AM43" s="24"/>
      <c r="AN43" s="81"/>
      <c r="AO43" s="24"/>
      <c r="AP43" s="81"/>
      <c r="AQ43" s="24" t="s">
        <v>418</v>
      </c>
      <c r="AR43" s="29" t="s">
        <v>174</v>
      </c>
      <c r="AS43" s="29"/>
      <c r="AT43" s="29"/>
      <c r="AU43" s="29" t="s">
        <v>382</v>
      </c>
      <c r="AV43" s="29">
        <v>11.55</v>
      </c>
      <c r="AW43" s="29"/>
      <c r="AX43" s="29"/>
      <c r="AY43" s="29"/>
      <c r="AZ43" s="29" t="s">
        <v>361</v>
      </c>
      <c r="BA43" s="24"/>
      <c r="BB43" s="29">
        <v>3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>
        <v>12</v>
      </c>
      <c r="BO43" s="29" t="s">
        <v>174</v>
      </c>
      <c r="BP43" s="29"/>
      <c r="BQ43" s="29">
        <v>12</v>
      </c>
      <c r="BR43" s="29"/>
      <c r="BS43" s="24"/>
      <c r="BT43" s="24"/>
      <c r="BU43" s="29"/>
      <c r="BV43" s="29" t="s">
        <v>174</v>
      </c>
      <c r="BW43" s="24"/>
      <c r="BX43" s="66">
        <v>1</v>
      </c>
      <c r="BY43" s="67" t="s">
        <v>656</v>
      </c>
    </row>
    <row r="44" spans="1:77" x14ac:dyDescent="0.15">
      <c r="A44" s="33">
        <v>932</v>
      </c>
      <c r="B44" s="26">
        <v>42832</v>
      </c>
      <c r="C44" s="27" t="s">
        <v>377</v>
      </c>
      <c r="D44" s="68" t="s">
        <v>454</v>
      </c>
      <c r="E44" s="24"/>
      <c r="F44" s="24" t="s">
        <v>417</v>
      </c>
      <c r="G44" s="28">
        <v>42634</v>
      </c>
      <c r="H44" s="29" t="s">
        <v>175</v>
      </c>
      <c r="I44" s="29" t="s">
        <v>174</v>
      </c>
      <c r="J44" s="29"/>
      <c r="K44" s="24" t="s">
        <v>303</v>
      </c>
      <c r="L44" s="24" t="s">
        <v>522</v>
      </c>
      <c r="M44" s="81">
        <v>103.29090909090908</v>
      </c>
      <c r="N44" s="81">
        <v>42.081818181818178</v>
      </c>
      <c r="O44" s="24"/>
      <c r="P44" s="25"/>
      <c r="Q44" s="81"/>
      <c r="R44" s="25"/>
      <c r="S44" s="81"/>
      <c r="T44" s="24"/>
      <c r="U44" s="24"/>
      <c r="V44" s="81"/>
      <c r="W44" s="81">
        <v>25.09090909090909</v>
      </c>
      <c r="X44" s="24"/>
      <c r="Y44" s="24"/>
      <c r="Z44" s="24"/>
      <c r="AA44" s="24"/>
      <c r="AB44" s="24"/>
      <c r="AC44" s="24"/>
      <c r="AD44" s="24"/>
      <c r="AE44" s="81"/>
      <c r="AF44" s="81"/>
      <c r="AG44" s="25"/>
      <c r="AH44" s="24"/>
      <c r="AI44" s="81"/>
      <c r="AJ44" s="24"/>
      <c r="AK44" s="24"/>
      <c r="AL44" s="24"/>
      <c r="AM44" s="24"/>
      <c r="AN44" s="81"/>
      <c r="AO44" s="24"/>
      <c r="AP44" s="81"/>
      <c r="AQ44" s="24" t="s">
        <v>418</v>
      </c>
      <c r="AR44" s="29" t="s">
        <v>174</v>
      </c>
      <c r="AS44" s="29"/>
      <c r="AT44" s="29"/>
      <c r="AU44" s="29" t="s">
        <v>382</v>
      </c>
      <c r="AV44" s="29">
        <v>6.8</v>
      </c>
      <c r="AW44" s="29"/>
      <c r="AX44" s="29"/>
      <c r="AY44" s="29"/>
      <c r="AZ44" s="29" t="s">
        <v>361</v>
      </c>
      <c r="BA44" s="24"/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29"/>
      <c r="BQ44" s="29"/>
      <c r="BR44" s="29"/>
      <c r="BS44" s="24"/>
      <c r="BT44" s="24"/>
      <c r="BU44" s="29"/>
      <c r="BV44" s="29" t="s">
        <v>174</v>
      </c>
      <c r="BW44" s="24"/>
      <c r="BY44" s="32" t="s">
        <v>657</v>
      </c>
    </row>
    <row r="45" spans="1:77" x14ac:dyDescent="0.15">
      <c r="A45" s="33">
        <v>5409</v>
      </c>
      <c r="B45" s="26">
        <v>42832</v>
      </c>
      <c r="C45" s="27" t="s">
        <v>377</v>
      </c>
      <c r="D45" s="68" t="s">
        <v>454</v>
      </c>
      <c r="E45" s="24"/>
      <c r="F45" s="24" t="s">
        <v>417</v>
      </c>
      <c r="G45" s="28">
        <v>42735</v>
      </c>
      <c r="H45" s="29" t="s">
        <v>175</v>
      </c>
      <c r="I45" s="29" t="s">
        <v>174</v>
      </c>
      <c r="J45" s="29"/>
      <c r="K45" s="24" t="s">
        <v>304</v>
      </c>
      <c r="L45" s="24" t="s">
        <v>523</v>
      </c>
      <c r="M45" s="81">
        <v>89.772727272727266</v>
      </c>
      <c r="N45" s="81">
        <v>40.545454545454547</v>
      </c>
      <c r="O45" s="24"/>
      <c r="P45" s="25"/>
      <c r="Q45" s="81"/>
      <c r="R45" s="25"/>
      <c r="S45" s="81"/>
      <c r="T45" s="25"/>
      <c r="U45" s="24"/>
      <c r="V45" s="81"/>
      <c r="W45" s="81">
        <v>25.481818181818181</v>
      </c>
      <c r="X45" s="24"/>
      <c r="Y45" s="24"/>
      <c r="Z45" s="25"/>
      <c r="AA45" s="24"/>
      <c r="AB45" s="25"/>
      <c r="AC45" s="24"/>
      <c r="AD45" s="24"/>
      <c r="AE45" s="81"/>
      <c r="AF45" s="81"/>
      <c r="AG45" s="25"/>
      <c r="AH45" s="24"/>
      <c r="AI45" s="81"/>
      <c r="AJ45" s="24"/>
      <c r="AK45" s="24"/>
      <c r="AL45" s="24"/>
      <c r="AM45" s="24"/>
      <c r="AN45" s="81"/>
      <c r="AO45" s="24"/>
      <c r="AP45" s="81"/>
      <c r="AQ45" s="24" t="s">
        <v>418</v>
      </c>
      <c r="AR45" s="29" t="s">
        <v>174</v>
      </c>
      <c r="AS45" s="29"/>
      <c r="AT45" s="29"/>
      <c r="AU45" s="29" t="s">
        <v>382</v>
      </c>
      <c r="AV45" s="29">
        <v>8</v>
      </c>
      <c r="AW45" s="29"/>
      <c r="AX45" s="29"/>
      <c r="AY45" s="29"/>
      <c r="AZ45" s="29" t="s">
        <v>361</v>
      </c>
      <c r="BA45" s="24"/>
      <c r="BB45" s="29">
        <v>0</v>
      </c>
      <c r="BC45" s="29">
        <v>15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>
        <v>12</v>
      </c>
      <c r="BO45" s="29" t="s">
        <v>174</v>
      </c>
      <c r="BP45" s="29"/>
      <c r="BQ45" s="29"/>
      <c r="BR45" s="29"/>
      <c r="BS45" s="24"/>
      <c r="BT45" s="24"/>
      <c r="BU45" s="29"/>
      <c r="BV45" s="29" t="s">
        <v>174</v>
      </c>
      <c r="BW45" s="24"/>
      <c r="BX45" s="66"/>
      <c r="BY45" s="67" t="s">
        <v>701</v>
      </c>
    </row>
    <row r="46" spans="1:77" x14ac:dyDescent="0.15">
      <c r="A46" s="33"/>
      <c r="B46" s="26">
        <v>42832</v>
      </c>
      <c r="C46" s="27" t="s">
        <v>377</v>
      </c>
      <c r="D46" s="68" t="s">
        <v>454</v>
      </c>
      <c r="E46" s="24"/>
      <c r="F46" s="24" t="s">
        <v>417</v>
      </c>
      <c r="G46" s="28">
        <v>42825</v>
      </c>
      <c r="H46" s="29" t="s">
        <v>175</v>
      </c>
      <c r="I46" s="29" t="s">
        <v>174</v>
      </c>
      <c r="J46" s="29"/>
      <c r="K46" s="24" t="s">
        <v>305</v>
      </c>
      <c r="L46" s="24" t="s">
        <v>631</v>
      </c>
      <c r="M46" s="81">
        <v>77.427272727272722</v>
      </c>
      <c r="N46" s="81">
        <v>33.699999999999996</v>
      </c>
      <c r="O46" s="24"/>
      <c r="P46" s="25"/>
      <c r="Q46" s="81"/>
      <c r="R46" s="25"/>
      <c r="S46" s="81"/>
      <c r="T46" s="25"/>
      <c r="U46" s="24"/>
      <c r="V46" s="81"/>
      <c r="W46" s="81">
        <v>21.754545454545454</v>
      </c>
      <c r="X46" s="24"/>
      <c r="Y46" s="24"/>
      <c r="Z46" s="25"/>
      <c r="AA46" s="24"/>
      <c r="AB46" s="25"/>
      <c r="AC46" s="24"/>
      <c r="AD46" s="24"/>
      <c r="AE46" s="81"/>
      <c r="AF46" s="81"/>
      <c r="AG46" s="25"/>
      <c r="AH46" s="24"/>
      <c r="AI46" s="81"/>
      <c r="AJ46" s="24"/>
      <c r="AK46" s="24"/>
      <c r="AL46" s="24"/>
      <c r="AM46" s="24"/>
      <c r="AN46" s="81"/>
      <c r="AO46" s="24"/>
      <c r="AP46" s="81"/>
      <c r="AQ46" s="24" t="s">
        <v>418</v>
      </c>
      <c r="AR46" s="29" t="s">
        <v>174</v>
      </c>
      <c r="AS46" s="29"/>
      <c r="AT46" s="29"/>
      <c r="AU46" s="29" t="s">
        <v>382</v>
      </c>
      <c r="AV46" s="29">
        <v>8</v>
      </c>
      <c r="AW46" s="29"/>
      <c r="AX46" s="29"/>
      <c r="AY46" s="29"/>
      <c r="AZ46" s="29" t="s">
        <v>361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>
        <v>12</v>
      </c>
      <c r="BO46" s="29" t="s">
        <v>174</v>
      </c>
      <c r="BP46" s="29"/>
      <c r="BQ46" s="29">
        <v>12</v>
      </c>
      <c r="BR46" s="29"/>
      <c r="BS46" s="30"/>
      <c r="BT46" s="30"/>
      <c r="BU46" s="29"/>
      <c r="BV46" s="29" t="s">
        <v>174</v>
      </c>
      <c r="BW46" s="30"/>
      <c r="BX46" s="66"/>
      <c r="BY46" s="32" t="s">
        <v>704</v>
      </c>
    </row>
    <row r="47" spans="1:77" x14ac:dyDescent="0.15">
      <c r="A47" s="33">
        <v>5943</v>
      </c>
      <c r="B47" s="26">
        <v>42832</v>
      </c>
      <c r="C47" s="27" t="s">
        <v>377</v>
      </c>
      <c r="D47" s="68" t="s">
        <v>454</v>
      </c>
      <c r="E47" s="24"/>
      <c r="F47" s="24" t="s">
        <v>417</v>
      </c>
      <c r="G47" s="28">
        <v>42606</v>
      </c>
      <c r="H47" s="29" t="s">
        <v>175</v>
      </c>
      <c r="I47" s="29" t="s">
        <v>174</v>
      </c>
      <c r="J47" s="29"/>
      <c r="K47" s="24" t="s">
        <v>306</v>
      </c>
      <c r="L47" s="24" t="s">
        <v>525</v>
      </c>
      <c r="M47" s="81">
        <v>87.1</v>
      </c>
      <c r="N47" s="81">
        <v>35.299999999999997</v>
      </c>
      <c r="O47" s="24"/>
      <c r="P47" s="25"/>
      <c r="Q47" s="81"/>
      <c r="R47" s="25"/>
      <c r="S47" s="81"/>
      <c r="T47" s="24"/>
      <c r="U47" s="24"/>
      <c r="V47" s="81"/>
      <c r="W47" s="81">
        <v>29.799999999999997</v>
      </c>
      <c r="X47" s="24"/>
      <c r="Y47" s="24"/>
      <c r="Z47" s="24"/>
      <c r="AA47" s="24"/>
      <c r="AB47" s="24"/>
      <c r="AC47" s="24"/>
      <c r="AD47" s="24"/>
      <c r="AE47" s="81"/>
      <c r="AF47" s="81"/>
      <c r="AG47" s="25"/>
      <c r="AH47" s="24"/>
      <c r="AI47" s="81"/>
      <c r="AJ47" s="24"/>
      <c r="AK47" s="24"/>
      <c r="AL47" s="24"/>
      <c r="AM47" s="24"/>
      <c r="AN47" s="81"/>
      <c r="AO47" s="24"/>
      <c r="AP47" s="81"/>
      <c r="AQ47" s="24" t="s">
        <v>418</v>
      </c>
      <c r="AR47" s="29" t="s">
        <v>174</v>
      </c>
      <c r="AS47" s="29"/>
      <c r="AT47" s="29"/>
      <c r="AU47" s="29" t="s">
        <v>382</v>
      </c>
      <c r="AV47" s="29">
        <v>11.5</v>
      </c>
      <c r="AW47" s="29"/>
      <c r="AX47" s="29"/>
      <c r="AY47" s="29"/>
      <c r="AZ47" s="29" t="s">
        <v>361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/>
      <c r="BO47" s="29" t="s">
        <v>174</v>
      </c>
      <c r="BP47" s="29"/>
      <c r="BQ47" s="29"/>
      <c r="BR47" s="283"/>
      <c r="BS47" s="30"/>
      <c r="BT47" s="30"/>
      <c r="BU47" s="29"/>
      <c r="BV47" s="29" t="s">
        <v>174</v>
      </c>
      <c r="BW47" s="24"/>
      <c r="BY47" s="32" t="s">
        <v>614</v>
      </c>
    </row>
    <row r="48" spans="1:77" x14ac:dyDescent="0.15">
      <c r="A48" s="33">
        <v>5634</v>
      </c>
      <c r="B48" s="26">
        <v>42832</v>
      </c>
      <c r="C48" s="27" t="s">
        <v>377</v>
      </c>
      <c r="D48" s="68" t="s">
        <v>454</v>
      </c>
      <c r="E48" s="24"/>
      <c r="F48" s="24" t="s">
        <v>417</v>
      </c>
      <c r="G48" s="28">
        <v>42551</v>
      </c>
      <c r="H48" s="29" t="s">
        <v>175</v>
      </c>
      <c r="I48" s="29" t="s">
        <v>174</v>
      </c>
      <c r="J48" s="29"/>
      <c r="K48" s="24" t="s">
        <v>495</v>
      </c>
      <c r="L48" s="24" t="s">
        <v>529</v>
      </c>
      <c r="M48" s="81">
        <v>120.68181818181817</v>
      </c>
      <c r="N48" s="81">
        <v>31.427272727272726</v>
      </c>
      <c r="O48" s="24"/>
      <c r="P48" s="25"/>
      <c r="Q48" s="81"/>
      <c r="R48" s="25"/>
      <c r="S48" s="81"/>
      <c r="T48" s="24"/>
      <c r="U48" s="24"/>
      <c r="V48" s="81"/>
      <c r="W48" s="81">
        <v>25.281818181818178</v>
      </c>
      <c r="X48" s="24"/>
      <c r="Y48" s="24"/>
      <c r="Z48" s="24"/>
      <c r="AA48" s="24"/>
      <c r="AB48" s="24"/>
      <c r="AC48" s="24"/>
      <c r="AD48" s="24"/>
      <c r="AE48" s="81"/>
      <c r="AF48" s="81"/>
      <c r="AG48" s="25"/>
      <c r="AH48" s="24"/>
      <c r="AI48" s="81"/>
      <c r="AJ48" s="24"/>
      <c r="AK48" s="24"/>
      <c r="AL48" s="24"/>
      <c r="AM48" s="24"/>
      <c r="AN48" s="81"/>
      <c r="AO48" s="24"/>
      <c r="AP48" s="81"/>
      <c r="AQ48" s="24" t="s">
        <v>418</v>
      </c>
      <c r="AR48" s="29" t="s">
        <v>174</v>
      </c>
      <c r="AS48" s="29"/>
      <c r="AT48" s="29"/>
      <c r="AU48" s="29" t="s">
        <v>382</v>
      </c>
      <c r="AV48" s="29">
        <v>7.5</v>
      </c>
      <c r="AW48" s="29"/>
      <c r="AX48" s="29"/>
      <c r="AY48" s="29"/>
      <c r="AZ48" s="29" t="s">
        <v>361</v>
      </c>
      <c r="BA48" s="24"/>
      <c r="BB48" s="29">
        <v>0</v>
      </c>
      <c r="BC48" s="29">
        <v>0</v>
      </c>
      <c r="BD48" s="29">
        <v>6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174</v>
      </c>
      <c r="BN48" s="29"/>
      <c r="BO48" s="29" t="s">
        <v>174</v>
      </c>
      <c r="BP48" s="29"/>
      <c r="BQ48" s="29"/>
      <c r="BR48" s="29"/>
      <c r="BS48" s="24"/>
      <c r="BT48" s="24"/>
      <c r="BU48" s="29"/>
      <c r="BV48" s="29" t="s">
        <v>174</v>
      </c>
      <c r="BW48" s="24">
        <v>1</v>
      </c>
      <c r="BY48" s="67" t="s">
        <v>591</v>
      </c>
    </row>
    <row r="49" spans="1:77" x14ac:dyDescent="0.15">
      <c r="A49" s="33">
        <v>6123</v>
      </c>
      <c r="B49" s="26">
        <v>42832</v>
      </c>
      <c r="C49" s="27" t="s">
        <v>377</v>
      </c>
      <c r="D49" s="68" t="s">
        <v>454</v>
      </c>
      <c r="E49" s="24"/>
      <c r="F49" s="24" t="s">
        <v>417</v>
      </c>
      <c r="G49" s="31">
        <v>42614</v>
      </c>
      <c r="H49" s="29" t="s">
        <v>175</v>
      </c>
      <c r="I49" s="29" t="s">
        <v>174</v>
      </c>
      <c r="J49" s="29"/>
      <c r="K49" s="24" t="s">
        <v>594</v>
      </c>
      <c r="L49" s="24" t="s">
        <v>595</v>
      </c>
      <c r="M49" s="81">
        <v>64.554545454545448</v>
      </c>
      <c r="N49" s="81">
        <v>28.18181818181818</v>
      </c>
      <c r="O49" s="24"/>
      <c r="P49" s="25"/>
      <c r="Q49" s="81"/>
      <c r="R49" s="25"/>
      <c r="S49" s="81"/>
      <c r="T49" s="25"/>
      <c r="U49" s="24"/>
      <c r="V49" s="81"/>
      <c r="W49" s="81">
        <v>19.09090909090909</v>
      </c>
      <c r="X49" s="25"/>
      <c r="Y49" s="24"/>
      <c r="Z49" s="25"/>
      <c r="AA49" s="24"/>
      <c r="AB49" s="25"/>
      <c r="AC49" s="24"/>
      <c r="AD49" s="24"/>
      <c r="AE49" s="81"/>
      <c r="AF49" s="81"/>
      <c r="AG49" s="25"/>
      <c r="AH49" s="24"/>
      <c r="AI49" s="81"/>
      <c r="AJ49" s="24"/>
      <c r="AK49" s="24"/>
      <c r="AL49" s="24"/>
      <c r="AM49" s="24"/>
      <c r="AN49" s="81"/>
      <c r="AO49" s="24"/>
      <c r="AP49" s="81"/>
      <c r="AQ49" s="24" t="s">
        <v>418</v>
      </c>
      <c r="AR49" s="29" t="s">
        <v>174</v>
      </c>
      <c r="AS49" s="29"/>
      <c r="AT49" s="29"/>
      <c r="AU49" s="29" t="s">
        <v>382</v>
      </c>
      <c r="AV49" s="29">
        <v>16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74" t="s">
        <v>174</v>
      </c>
      <c r="BN49" s="29"/>
      <c r="BO49" s="29" t="s">
        <v>174</v>
      </c>
      <c r="BP49" s="91">
        <v>218.07272727272721</v>
      </c>
      <c r="BQ49" s="29"/>
      <c r="BR49" s="283">
        <v>42915</v>
      </c>
      <c r="BS49" s="30"/>
      <c r="BT49" s="30"/>
      <c r="BU49" s="29"/>
      <c r="BV49" s="29" t="s">
        <v>174</v>
      </c>
      <c r="BW49" s="24"/>
      <c r="BX49" t="s">
        <v>636</v>
      </c>
      <c r="BY49" s="67" t="s">
        <v>660</v>
      </c>
    </row>
    <row r="50" spans="1:77" x14ac:dyDescent="0.15">
      <c r="A50" s="33"/>
      <c r="B50" s="26">
        <v>42832</v>
      </c>
      <c r="C50" s="27" t="s">
        <v>377</v>
      </c>
      <c r="D50" s="68" t="s">
        <v>454</v>
      </c>
      <c r="E50" s="24"/>
      <c r="F50" s="24" t="s">
        <v>417</v>
      </c>
      <c r="G50" s="31">
        <v>42694</v>
      </c>
      <c r="H50" s="29" t="s">
        <v>175</v>
      </c>
      <c r="I50" s="29" t="s">
        <v>174</v>
      </c>
      <c r="J50" s="29"/>
      <c r="K50" s="68" t="s">
        <v>676</v>
      </c>
      <c r="L50" s="68" t="s">
        <v>677</v>
      </c>
      <c r="M50" s="81">
        <v>90</v>
      </c>
      <c r="N50" s="81">
        <v>40</v>
      </c>
      <c r="O50" s="24"/>
      <c r="P50" s="25"/>
      <c r="Q50" s="81"/>
      <c r="R50" s="25"/>
      <c r="S50" s="81"/>
      <c r="T50" s="25"/>
      <c r="U50" s="24"/>
      <c r="V50" s="81"/>
      <c r="W50" s="81">
        <v>24</v>
      </c>
      <c r="X50" s="25"/>
      <c r="Y50" s="24"/>
      <c r="Z50" s="25"/>
      <c r="AA50" s="24"/>
      <c r="AB50" s="25"/>
      <c r="AC50" s="24"/>
      <c r="AD50" s="24"/>
      <c r="AE50" s="81"/>
      <c r="AF50" s="81"/>
      <c r="AG50" s="25"/>
      <c r="AH50" s="24"/>
      <c r="AI50" s="81"/>
      <c r="AJ50" s="24"/>
      <c r="AK50" s="24"/>
      <c r="AL50" s="24"/>
      <c r="AM50" s="24"/>
      <c r="AN50" s="81"/>
      <c r="AO50" s="24"/>
      <c r="AP50" s="81"/>
      <c r="AQ50" s="24" t="s">
        <v>418</v>
      </c>
      <c r="AR50" s="29" t="s">
        <v>174</v>
      </c>
      <c r="AS50" s="29"/>
      <c r="AT50" s="29"/>
      <c r="AU50" s="29" t="s">
        <v>382</v>
      </c>
      <c r="AV50" s="29">
        <v>6</v>
      </c>
      <c r="AW50" s="29"/>
      <c r="AX50" s="29"/>
      <c r="AY50" s="29"/>
      <c r="AZ50" s="29" t="s">
        <v>361</v>
      </c>
      <c r="BA50" s="24"/>
      <c r="BB50" s="29">
        <v>0</v>
      </c>
      <c r="BC50" s="29">
        <v>15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74" t="s">
        <v>174</v>
      </c>
      <c r="BN50" s="29"/>
      <c r="BO50" s="29" t="s">
        <v>174</v>
      </c>
      <c r="BP50" s="96"/>
      <c r="BQ50" s="29"/>
      <c r="BR50" s="283"/>
      <c r="BS50" s="30"/>
      <c r="BT50" s="30"/>
      <c r="BU50" s="29"/>
      <c r="BV50" s="29" t="s">
        <v>174</v>
      </c>
      <c r="BW50" s="24"/>
      <c r="BX50" s="266" t="s">
        <v>679</v>
      </c>
      <c r="BY50" s="67" t="s">
        <v>713</v>
      </c>
    </row>
    <row r="51" spans="1:77" x14ac:dyDescent="0.15">
      <c r="A51" s="33"/>
      <c r="B51" s="26">
        <v>42832</v>
      </c>
      <c r="C51" s="27" t="s">
        <v>377</v>
      </c>
      <c r="D51" s="68" t="s">
        <v>454</v>
      </c>
      <c r="E51" s="24"/>
      <c r="F51" s="24" t="s">
        <v>417</v>
      </c>
      <c r="G51" s="31">
        <v>42582</v>
      </c>
      <c r="H51" s="29" t="s">
        <v>175</v>
      </c>
      <c r="I51" s="29" t="s">
        <v>174</v>
      </c>
      <c r="J51" s="29"/>
      <c r="K51" s="68" t="s">
        <v>682</v>
      </c>
      <c r="L51" s="68" t="s">
        <v>683</v>
      </c>
      <c r="M51" s="81">
        <v>85.9</v>
      </c>
      <c r="N51" s="81">
        <v>29</v>
      </c>
      <c r="O51" s="24"/>
      <c r="P51" s="25"/>
      <c r="Q51" s="81"/>
      <c r="R51" s="25"/>
      <c r="S51" s="81"/>
      <c r="T51" s="25"/>
      <c r="U51" s="24"/>
      <c r="V51" s="81"/>
      <c r="W51" s="81">
        <v>19.5</v>
      </c>
      <c r="X51" s="25"/>
      <c r="Y51" s="24"/>
      <c r="Z51" s="25"/>
      <c r="AA51" s="24"/>
      <c r="AB51" s="25"/>
      <c r="AC51" s="24"/>
      <c r="AD51" s="24"/>
      <c r="AE51" s="81"/>
      <c r="AF51" s="81"/>
      <c r="AG51" s="25"/>
      <c r="AH51" s="24"/>
      <c r="AI51" s="81"/>
      <c r="AJ51" s="24"/>
      <c r="AK51" s="24"/>
      <c r="AL51" s="24"/>
      <c r="AM51" s="24"/>
      <c r="AN51" s="81"/>
      <c r="AO51" s="24"/>
      <c r="AP51" s="81"/>
      <c r="AQ51" s="24" t="s">
        <v>418</v>
      </c>
      <c r="AR51" s="29" t="s">
        <v>174</v>
      </c>
      <c r="AS51" s="29"/>
      <c r="AT51" s="29"/>
      <c r="AU51" s="29" t="s">
        <v>382</v>
      </c>
      <c r="AV51" s="29">
        <v>10</v>
      </c>
      <c r="AW51" s="29"/>
      <c r="AX51" s="29"/>
      <c r="AY51" s="29"/>
      <c r="AZ51" s="74" t="s">
        <v>174</v>
      </c>
      <c r="BA51" s="24"/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74" t="s">
        <v>174</v>
      </c>
      <c r="BN51" s="29"/>
      <c r="BO51" s="29" t="s">
        <v>174</v>
      </c>
      <c r="BP51" s="96"/>
      <c r="BQ51" s="29"/>
      <c r="BR51" s="283"/>
      <c r="BS51" s="30"/>
      <c r="BT51" s="30"/>
      <c r="BU51" s="29"/>
      <c r="BV51" s="29" t="s">
        <v>174</v>
      </c>
      <c r="BW51" s="24"/>
      <c r="BX51" s="266"/>
      <c r="BY51" s="67" t="s">
        <v>685</v>
      </c>
    </row>
    <row r="52" spans="1:77" x14ac:dyDescent="0.15">
      <c r="A52" s="33"/>
      <c r="B52" s="26">
        <v>42832</v>
      </c>
      <c r="C52" s="27" t="s">
        <v>377</v>
      </c>
      <c r="D52" s="68" t="s">
        <v>454</v>
      </c>
      <c r="E52" s="24"/>
      <c r="F52" s="24" t="s">
        <v>417</v>
      </c>
      <c r="G52" s="31">
        <v>42797</v>
      </c>
      <c r="H52" s="29" t="s">
        <v>175</v>
      </c>
      <c r="I52" s="29" t="s">
        <v>174</v>
      </c>
      <c r="J52" s="29"/>
      <c r="K52" s="68" t="s">
        <v>686</v>
      </c>
      <c r="L52" s="68" t="s">
        <v>687</v>
      </c>
      <c r="M52" s="81">
        <v>80</v>
      </c>
      <c r="N52" s="81">
        <v>46.718181818181812</v>
      </c>
      <c r="O52" s="24"/>
      <c r="P52" s="25"/>
      <c r="Q52" s="81"/>
      <c r="R52" s="25"/>
      <c r="S52" s="81"/>
      <c r="T52" s="25"/>
      <c r="U52" s="24"/>
      <c r="V52" s="81"/>
      <c r="W52" s="81">
        <v>37.11818181818181</v>
      </c>
      <c r="X52" s="25"/>
      <c r="Y52" s="24"/>
      <c r="Z52" s="25"/>
      <c r="AA52" s="24"/>
      <c r="AB52" s="25"/>
      <c r="AC52" s="24"/>
      <c r="AD52" s="24"/>
      <c r="AE52" s="81"/>
      <c r="AF52" s="81"/>
      <c r="AG52" s="25"/>
      <c r="AH52" s="24"/>
      <c r="AI52" s="81"/>
      <c r="AJ52" s="24"/>
      <c r="AK52" s="24"/>
      <c r="AL52" s="24"/>
      <c r="AM52" s="24"/>
      <c r="AN52" s="81"/>
      <c r="AO52" s="24"/>
      <c r="AP52" s="81"/>
      <c r="AQ52" s="24" t="s">
        <v>418</v>
      </c>
      <c r="AR52" s="29" t="s">
        <v>174</v>
      </c>
      <c r="AS52" s="29"/>
      <c r="AT52" s="29"/>
      <c r="AU52" s="29" t="s">
        <v>382</v>
      </c>
      <c r="AV52" s="29">
        <v>8</v>
      </c>
      <c r="AW52" s="29"/>
      <c r="AX52" s="29"/>
      <c r="AY52" s="29"/>
      <c r="AZ52" s="74" t="s">
        <v>174</v>
      </c>
      <c r="BA52" s="24"/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74" t="s">
        <v>174</v>
      </c>
      <c r="BN52" s="29"/>
      <c r="BO52" s="29" t="s">
        <v>174</v>
      </c>
      <c r="BP52" s="96"/>
      <c r="BQ52" s="29"/>
      <c r="BR52" s="283"/>
      <c r="BS52" s="30"/>
      <c r="BT52" s="30"/>
      <c r="BU52" s="29"/>
      <c r="BV52" s="29" t="s">
        <v>174</v>
      </c>
      <c r="BW52" s="24"/>
      <c r="BX52" s="266" t="s">
        <v>690</v>
      </c>
      <c r="BY52" s="67" t="s">
        <v>715</v>
      </c>
    </row>
    <row r="53" spans="1:77" x14ac:dyDescent="0.15">
      <c r="A53" s="33"/>
      <c r="B53" s="26">
        <v>42832</v>
      </c>
      <c r="C53" s="27" t="s">
        <v>377</v>
      </c>
      <c r="D53" s="68" t="s">
        <v>454</v>
      </c>
      <c r="E53" s="24"/>
      <c r="F53" s="24" t="s">
        <v>417</v>
      </c>
      <c r="G53" s="28">
        <v>42789</v>
      </c>
      <c r="H53" s="29" t="s">
        <v>175</v>
      </c>
      <c r="I53" s="29" t="s">
        <v>174</v>
      </c>
      <c r="J53" s="29"/>
      <c r="K53" s="24" t="s">
        <v>302</v>
      </c>
      <c r="L53" s="24" t="s">
        <v>521</v>
      </c>
      <c r="M53" s="81">
        <v>86.018181818181816</v>
      </c>
      <c r="N53" s="81">
        <v>35.950000000000003</v>
      </c>
      <c r="O53" s="24"/>
      <c r="P53" s="25"/>
      <c r="Q53" s="81"/>
      <c r="R53" s="25"/>
      <c r="S53" s="81"/>
      <c r="T53" s="25"/>
      <c r="U53" s="24"/>
      <c r="V53" s="81"/>
      <c r="W53" s="81">
        <v>23.51</v>
      </c>
      <c r="X53" s="24"/>
      <c r="Y53" s="24"/>
      <c r="Z53" s="24"/>
      <c r="AA53" s="24"/>
      <c r="AB53" s="24"/>
      <c r="AC53" s="24"/>
      <c r="AD53" s="24"/>
      <c r="AE53" s="81"/>
      <c r="AF53" s="81"/>
      <c r="AG53" s="25"/>
      <c r="AH53" s="24"/>
      <c r="AI53" s="81"/>
      <c r="AJ53" s="24"/>
      <c r="AK53" s="24"/>
      <c r="AL53" s="24"/>
      <c r="AM53" s="24"/>
      <c r="AN53" s="81"/>
      <c r="AO53" s="24"/>
      <c r="AP53" s="81"/>
      <c r="AQ53" s="24" t="s">
        <v>418</v>
      </c>
      <c r="AR53" s="29" t="s">
        <v>174</v>
      </c>
      <c r="AS53" s="29"/>
      <c r="AT53" s="29"/>
      <c r="AU53" s="29" t="s">
        <v>382</v>
      </c>
      <c r="AV53" s="29">
        <v>12</v>
      </c>
      <c r="AW53" s="29"/>
      <c r="AX53" s="29"/>
      <c r="AY53" s="29"/>
      <c r="AZ53" s="29" t="s">
        <v>361</v>
      </c>
      <c r="BA53" s="24"/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/>
      <c r="BM53" s="29" t="s">
        <v>174</v>
      </c>
      <c r="BN53" s="29"/>
      <c r="BO53" s="29" t="s">
        <v>174</v>
      </c>
      <c r="BP53" s="29"/>
      <c r="BQ53" s="29"/>
      <c r="BR53" s="29"/>
      <c r="BS53" s="24"/>
      <c r="BT53" s="24"/>
      <c r="BU53" s="29"/>
      <c r="BV53" s="29" t="s">
        <v>174</v>
      </c>
      <c r="BW53" s="24"/>
      <c r="BX53" s="66"/>
      <c r="BY53" s="67" t="s">
        <v>699</v>
      </c>
    </row>
    <row r="54" spans="1:77" x14ac:dyDescent="0.15">
      <c r="A54" s="33"/>
      <c r="B54" s="26">
        <v>42832</v>
      </c>
      <c r="C54" s="27" t="s">
        <v>377</v>
      </c>
      <c r="D54" s="68" t="s">
        <v>454</v>
      </c>
      <c r="E54" s="24"/>
      <c r="F54" s="24" t="s">
        <v>417</v>
      </c>
      <c r="G54" s="28">
        <v>42647</v>
      </c>
      <c r="H54" s="29" t="s">
        <v>175</v>
      </c>
      <c r="I54" s="29" t="s">
        <v>174</v>
      </c>
      <c r="J54" s="29"/>
      <c r="K54" s="24" t="s">
        <v>307</v>
      </c>
      <c r="L54" s="24" t="s">
        <v>327</v>
      </c>
      <c r="M54" s="81">
        <v>86.38</v>
      </c>
      <c r="N54" s="81">
        <v>43.66</v>
      </c>
      <c r="O54" s="24"/>
      <c r="P54" s="25"/>
      <c r="Q54" s="81"/>
      <c r="R54" s="25"/>
      <c r="S54" s="81"/>
      <c r="T54" s="25"/>
      <c r="U54" s="24"/>
      <c r="V54" s="81"/>
      <c r="W54" s="81">
        <v>25.68</v>
      </c>
      <c r="X54" s="24"/>
      <c r="Y54" s="24"/>
      <c r="Z54" s="24"/>
      <c r="AA54" s="24"/>
      <c r="AB54" s="24"/>
      <c r="AC54" s="24"/>
      <c r="AD54" s="24"/>
      <c r="AE54" s="81"/>
      <c r="AF54" s="81"/>
      <c r="AG54" s="24"/>
      <c r="AH54" s="24"/>
      <c r="AI54" s="81"/>
      <c r="AJ54" s="24"/>
      <c r="AK54" s="24"/>
      <c r="AL54" s="24"/>
      <c r="AM54" s="24"/>
      <c r="AN54" s="81"/>
      <c r="AO54" s="24"/>
      <c r="AP54" s="81"/>
      <c r="AQ54" s="24" t="s">
        <v>418</v>
      </c>
      <c r="AR54" s="29" t="s">
        <v>174</v>
      </c>
      <c r="AS54" s="29"/>
      <c r="AT54" s="29"/>
      <c r="AU54" s="29" t="s">
        <v>382</v>
      </c>
      <c r="AV54" s="29">
        <v>10</v>
      </c>
      <c r="AW54" s="29"/>
      <c r="AX54" s="29"/>
      <c r="AY54" s="29"/>
      <c r="AZ54" s="29" t="s">
        <v>174</v>
      </c>
      <c r="BA54" s="24"/>
      <c r="BB54" s="29">
        <v>11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/>
      <c r="BM54" s="29" t="s">
        <v>174</v>
      </c>
      <c r="BN54" s="29"/>
      <c r="BO54" s="29" t="s">
        <v>174</v>
      </c>
      <c r="BP54" s="29"/>
      <c r="BQ54" s="29"/>
      <c r="BR54" s="29"/>
      <c r="BS54" s="24"/>
      <c r="BT54" s="24"/>
      <c r="BU54" s="29"/>
      <c r="BV54" s="29" t="s">
        <v>174</v>
      </c>
      <c r="BW54" s="24"/>
      <c r="BY54" s="67" t="s">
        <v>702</v>
      </c>
    </row>
    <row r="55" spans="1:77" x14ac:dyDescent="0.15">
      <c r="A55" s="33"/>
      <c r="B55" s="26">
        <v>42832</v>
      </c>
      <c r="C55" s="27" t="s">
        <v>377</v>
      </c>
      <c r="D55" s="68" t="s">
        <v>454</v>
      </c>
      <c r="E55" s="24"/>
      <c r="F55" s="24" t="s">
        <v>417</v>
      </c>
      <c r="G55" s="28">
        <v>42812</v>
      </c>
      <c r="H55" s="74" t="s">
        <v>175</v>
      </c>
      <c r="I55" s="74" t="s">
        <v>174</v>
      </c>
      <c r="J55" s="74"/>
      <c r="K55" s="68" t="s">
        <v>691</v>
      </c>
      <c r="L55" s="68" t="s">
        <v>692</v>
      </c>
      <c r="M55" s="81">
        <v>86.77</v>
      </c>
      <c r="N55" s="81">
        <v>28.95</v>
      </c>
      <c r="O55" s="24"/>
      <c r="P55" s="25"/>
      <c r="Q55" s="81"/>
      <c r="R55" s="25"/>
      <c r="S55" s="81"/>
      <c r="T55" s="25"/>
      <c r="U55" s="24"/>
      <c r="V55" s="81"/>
      <c r="W55" s="81">
        <v>19.45</v>
      </c>
      <c r="X55" s="25"/>
      <c r="Y55" s="24"/>
      <c r="Z55" s="25"/>
      <c r="AA55" s="24"/>
      <c r="AB55" s="25"/>
      <c r="AC55" s="24"/>
      <c r="AD55" s="24"/>
      <c r="AE55" s="81"/>
      <c r="AF55" s="81"/>
      <c r="AG55" s="25"/>
      <c r="AH55" s="24"/>
      <c r="AI55" s="81"/>
      <c r="AJ55" s="24"/>
      <c r="AK55" s="24"/>
      <c r="AL55" s="24"/>
      <c r="AM55" s="24"/>
      <c r="AN55" s="81"/>
      <c r="AO55" s="24"/>
      <c r="AP55" s="81"/>
      <c r="AQ55" s="24" t="s">
        <v>418</v>
      </c>
      <c r="AR55" s="29" t="s">
        <v>174</v>
      </c>
      <c r="AS55" s="29"/>
      <c r="AT55" s="29"/>
      <c r="AU55" s="29" t="s">
        <v>382</v>
      </c>
      <c r="AV55" s="29">
        <v>5</v>
      </c>
      <c r="AW55" s="29"/>
      <c r="AX55" s="29"/>
      <c r="AY55" s="29"/>
      <c r="AZ55" s="74" t="s">
        <v>361</v>
      </c>
      <c r="BA55" s="24"/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/>
      <c r="BM55" s="74" t="s">
        <v>174</v>
      </c>
      <c r="BN55" s="29"/>
      <c r="BO55" s="74" t="s">
        <v>174</v>
      </c>
      <c r="BP55" s="29"/>
      <c r="BQ55" s="29"/>
      <c r="BR55" s="29"/>
      <c r="BS55" s="24"/>
      <c r="BT55" s="24"/>
      <c r="BU55" s="29"/>
      <c r="BV55" s="74" t="s">
        <v>174</v>
      </c>
      <c r="BW55" s="24">
        <v>1</v>
      </c>
      <c r="BX55" s="308"/>
      <c r="BY55" s="269" t="s">
        <v>703</v>
      </c>
    </row>
    <row r="56" spans="1:77" x14ac:dyDescent="0.15">
      <c r="A56" s="33"/>
      <c r="B56" s="26">
        <v>42832</v>
      </c>
      <c r="C56" s="27" t="s">
        <v>377</v>
      </c>
      <c r="D56" s="68" t="s">
        <v>454</v>
      </c>
      <c r="E56" s="24"/>
      <c r="F56" s="24" t="s">
        <v>417</v>
      </c>
      <c r="G56" s="28">
        <v>42704</v>
      </c>
      <c r="H56" s="74" t="s">
        <v>175</v>
      </c>
      <c r="I56" s="74" t="s">
        <v>174</v>
      </c>
      <c r="J56" s="74"/>
      <c r="K56" s="68" t="s">
        <v>705</v>
      </c>
      <c r="L56" s="68" t="s">
        <v>706</v>
      </c>
      <c r="M56" s="81">
        <v>85</v>
      </c>
      <c r="N56" s="81">
        <v>33.28</v>
      </c>
      <c r="O56" s="24"/>
      <c r="P56" s="25"/>
      <c r="Q56" s="81"/>
      <c r="R56" s="25"/>
      <c r="S56" s="81"/>
      <c r="T56" s="25"/>
      <c r="U56" s="24"/>
      <c r="V56" s="81"/>
      <c r="W56" s="81">
        <v>21.25</v>
      </c>
      <c r="X56" s="25"/>
      <c r="Y56" s="24"/>
      <c r="Z56" s="25"/>
      <c r="AA56" s="24"/>
      <c r="AB56" s="25"/>
      <c r="AC56" s="24"/>
      <c r="AD56" s="24"/>
      <c r="AE56" s="81"/>
      <c r="AF56" s="81"/>
      <c r="AG56" s="25"/>
      <c r="AH56" s="24"/>
      <c r="AI56" s="81"/>
      <c r="AJ56" s="24"/>
      <c r="AK56" s="24"/>
      <c r="AL56" s="24"/>
      <c r="AM56" s="24"/>
      <c r="AN56" s="81"/>
      <c r="AO56" s="24"/>
      <c r="AP56" s="81"/>
      <c r="AQ56" s="24" t="s">
        <v>418</v>
      </c>
      <c r="AR56" s="29" t="s">
        <v>174</v>
      </c>
      <c r="AS56" s="29"/>
      <c r="AT56" s="29"/>
      <c r="AU56" s="29"/>
      <c r="AV56" s="29"/>
      <c r="AW56" s="29"/>
      <c r="AX56" s="29"/>
      <c r="AY56" s="29"/>
      <c r="AZ56" s="74" t="s">
        <v>174</v>
      </c>
      <c r="BA56" s="24"/>
      <c r="BB56" s="29">
        <v>0</v>
      </c>
      <c r="BC56" s="29">
        <v>5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/>
      <c r="BM56" s="74" t="s">
        <v>174</v>
      </c>
      <c r="BN56" s="29"/>
      <c r="BO56" s="74" t="s">
        <v>174</v>
      </c>
      <c r="BP56" s="29"/>
      <c r="BQ56" s="29"/>
      <c r="BR56" s="29"/>
      <c r="BS56" s="24"/>
      <c r="BT56" s="24"/>
      <c r="BU56" s="29"/>
      <c r="BV56" s="74" t="s">
        <v>174</v>
      </c>
      <c r="BW56" s="24"/>
      <c r="BX56" s="308"/>
      <c r="BY56" s="269" t="s">
        <v>707</v>
      </c>
    </row>
    <row r="57" spans="1:77" x14ac:dyDescent="0.15">
      <c r="A57" s="33"/>
      <c r="B57" s="26">
        <v>42832</v>
      </c>
      <c r="C57" s="27" t="s">
        <v>377</v>
      </c>
      <c r="D57" s="68" t="s">
        <v>454</v>
      </c>
      <c r="E57" s="24"/>
      <c r="F57" s="24" t="s">
        <v>417</v>
      </c>
      <c r="G57" s="28">
        <v>43047</v>
      </c>
      <c r="H57" s="74" t="s">
        <v>175</v>
      </c>
      <c r="I57" s="74" t="s">
        <v>174</v>
      </c>
      <c r="J57" s="74"/>
      <c r="K57" s="68" t="s">
        <v>708</v>
      </c>
      <c r="L57" s="68" t="s">
        <v>709</v>
      </c>
      <c r="M57" s="81">
        <v>89.7</v>
      </c>
      <c r="N57" s="81">
        <v>40.5</v>
      </c>
      <c r="O57" s="24"/>
      <c r="P57" s="25"/>
      <c r="Q57" s="81"/>
      <c r="R57" s="25"/>
      <c r="S57" s="81"/>
      <c r="T57" s="25"/>
      <c r="U57" s="24"/>
      <c r="V57" s="81"/>
      <c r="W57" s="81">
        <v>25.45</v>
      </c>
      <c r="X57" s="25"/>
      <c r="Y57" s="24"/>
      <c r="Z57" s="25"/>
      <c r="AA57" s="24"/>
      <c r="AB57" s="25"/>
      <c r="AC57" s="24"/>
      <c r="AD57" s="24"/>
      <c r="AE57" s="81"/>
      <c r="AF57" s="81"/>
      <c r="AG57" s="25"/>
      <c r="AH57" s="24"/>
      <c r="AI57" s="81"/>
      <c r="AJ57" s="24"/>
      <c r="AK57" s="24"/>
      <c r="AL57" s="24"/>
      <c r="AM57" s="24"/>
      <c r="AN57" s="81"/>
      <c r="AO57" s="24"/>
      <c r="AP57" s="81"/>
      <c r="AQ57" s="24" t="s">
        <v>418</v>
      </c>
      <c r="AR57" s="29" t="s">
        <v>174</v>
      </c>
      <c r="AS57" s="29"/>
      <c r="AT57" s="29"/>
      <c r="AU57" s="29" t="s">
        <v>382</v>
      </c>
      <c r="AV57" s="29">
        <v>8</v>
      </c>
      <c r="AW57" s="29"/>
      <c r="AX57" s="29"/>
      <c r="AY57" s="29"/>
      <c r="AZ57" s="74" t="s">
        <v>174</v>
      </c>
      <c r="BA57" s="24"/>
      <c r="BB57" s="29">
        <v>4</v>
      </c>
      <c r="BC57" s="29">
        <v>0</v>
      </c>
      <c r="BD57" s="29">
        <v>10</v>
      </c>
      <c r="BE57" s="29">
        <v>0</v>
      </c>
      <c r="BF57" s="29">
        <v>0</v>
      </c>
      <c r="BG57" s="29">
        <v>0</v>
      </c>
      <c r="BH57" s="29">
        <v>0</v>
      </c>
      <c r="BI57" s="29">
        <v>0</v>
      </c>
      <c r="BJ57" s="29">
        <v>0</v>
      </c>
      <c r="BK57" s="29">
        <v>0</v>
      </c>
      <c r="BL57" s="29"/>
      <c r="BM57" s="74" t="s">
        <v>174</v>
      </c>
      <c r="BN57" s="29"/>
      <c r="BO57" s="74" t="s">
        <v>174</v>
      </c>
      <c r="BP57" s="29"/>
      <c r="BQ57" s="29"/>
      <c r="BR57" s="29"/>
      <c r="BS57" s="24"/>
      <c r="BT57" s="24"/>
      <c r="BU57" s="29"/>
      <c r="BV57" s="74" t="s">
        <v>174</v>
      </c>
      <c r="BW57" s="24">
        <v>1</v>
      </c>
      <c r="BX57" s="308"/>
      <c r="BY57" s="269" t="s">
        <v>710</v>
      </c>
    </row>
    <row r="58" spans="1:77" x14ac:dyDescent="0.15">
      <c r="M58"/>
      <c r="N58"/>
    </row>
    <row r="59" spans="1:77" x14ac:dyDescent="0.15">
      <c r="M59"/>
      <c r="N59"/>
    </row>
  </sheetData>
  <sheetProtection algorithmName="SHA-512" hashValue="OU7XSRvJg8i+N7K1W5eVBsT+apq3U0L5bdTPndvGVLukqZ573H3KxZgWau6hYPECkKg5hNQXBtfdSUS0kfeMPA==" saltValue="sM5zNFnzd5w2Mf3S708hIg==" spinCount="100000" sheet="1" objects="1" scenarios="1"/>
  <hyperlinks>
    <hyperlink ref="BY16" r:id="rId1" display="https://www.energymadeeasy.gov.au/offer/1072864?postcode=5000" xr:uid="{DF9468F8-74DC-6A45-8CFD-AC66A0F7DB66}"/>
  </hyperlinks>
  <pageMargins left="0.75" right="0.75" top="1" bottom="1" header="0.5" footer="0.5"/>
  <pageSetup paperSize="9" orientation="portrait" horizontalDpi="0" verticalDpi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AF6C-8312-C54E-92A5-376E1FFCB3BD}">
  <sheetPr codeName="Sheet18"/>
  <dimension ref="A1:BZ54"/>
  <sheetViews>
    <sheetView zoomScaleNormal="100" zoomScalePageLayoutView="125" workbookViewId="0">
      <pane ySplit="1" topLeftCell="A2" activePane="bottomLeft" state="frozen"/>
      <selection activeCell="BP2" sqref="BP2"/>
      <selection pane="bottomLeft" activeCell="BP5" sqref="BP5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  <c r="BZ1" s="1" t="s">
        <v>674</v>
      </c>
    </row>
    <row r="2" spans="1:78" x14ac:dyDescent="0.15">
      <c r="A2" s="33">
        <v>4250</v>
      </c>
      <c r="B2" s="26">
        <v>42656</v>
      </c>
      <c r="C2" s="27" t="s">
        <v>377</v>
      </c>
      <c r="D2" s="68" t="s">
        <v>454</v>
      </c>
      <c r="E2" s="24"/>
      <c r="F2" s="24" t="s">
        <v>379</v>
      </c>
      <c r="G2" s="28">
        <v>42551</v>
      </c>
      <c r="H2" s="29" t="s">
        <v>175</v>
      </c>
      <c r="I2" s="29" t="s">
        <v>174</v>
      </c>
      <c r="J2" s="29"/>
      <c r="K2" s="24" t="s">
        <v>296</v>
      </c>
      <c r="L2" s="24" t="s">
        <v>510</v>
      </c>
      <c r="M2" s="81">
        <v>75.654545454545442</v>
      </c>
      <c r="N2" s="81">
        <v>30.7</v>
      </c>
      <c r="O2" s="24" t="s">
        <v>518</v>
      </c>
      <c r="P2" s="25">
        <v>5000</v>
      </c>
      <c r="Q2" s="81">
        <v>30.7</v>
      </c>
      <c r="R2" s="25"/>
      <c r="S2" s="81"/>
      <c r="T2" s="25"/>
      <c r="U2" s="24"/>
      <c r="V2" s="81"/>
      <c r="W2" s="81"/>
      <c r="X2" s="24"/>
      <c r="Y2" s="24"/>
      <c r="Z2" s="24"/>
      <c r="AA2" s="24"/>
      <c r="AB2" s="25"/>
      <c r="AC2" s="24"/>
      <c r="AD2" s="24"/>
      <c r="AE2" s="81"/>
      <c r="AF2" s="81"/>
      <c r="AG2" s="25"/>
      <c r="AH2" s="24"/>
      <c r="AI2" s="81"/>
      <c r="AJ2" s="24"/>
      <c r="AK2" s="24"/>
      <c r="AL2" s="24"/>
      <c r="AM2" s="24"/>
      <c r="AN2" s="81"/>
      <c r="AO2" s="24"/>
      <c r="AP2" s="81"/>
      <c r="AQ2" s="24" t="s">
        <v>381</v>
      </c>
      <c r="AR2" s="29" t="s">
        <v>174</v>
      </c>
      <c r="AS2" s="29"/>
      <c r="AT2" s="29"/>
      <c r="AU2" s="29" t="s">
        <v>382</v>
      </c>
      <c r="AV2" s="29">
        <v>12.4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>
        <v>12</v>
      </c>
      <c r="BO2" s="29" t="s">
        <v>174</v>
      </c>
      <c r="BP2" s="29"/>
      <c r="BQ2" s="29">
        <v>12</v>
      </c>
      <c r="BR2" s="29"/>
      <c r="BS2" s="30"/>
      <c r="BT2" s="30"/>
      <c r="BU2" s="29"/>
      <c r="BV2" s="29" t="s">
        <v>174</v>
      </c>
      <c r="BW2" s="24"/>
      <c r="BX2" s="66"/>
      <c r="BY2" s="67" t="s">
        <v>622</v>
      </c>
      <c r="BZ2" t="s">
        <v>77</v>
      </c>
    </row>
    <row r="3" spans="1:78" x14ac:dyDescent="0.15">
      <c r="A3" s="33">
        <v>5549</v>
      </c>
      <c r="B3" s="26">
        <v>42656</v>
      </c>
      <c r="C3" s="27" t="s">
        <v>377</v>
      </c>
      <c r="D3" s="68" t="s">
        <v>454</v>
      </c>
      <c r="E3" s="24"/>
      <c r="F3" s="24" t="s">
        <v>379</v>
      </c>
      <c r="G3" s="31">
        <v>42647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 t="s">
        <v>518</v>
      </c>
      <c r="P3" s="25">
        <v>2500</v>
      </c>
      <c r="Q3" s="81">
        <v>33.972727272727269</v>
      </c>
      <c r="R3" s="25"/>
      <c r="S3" s="81"/>
      <c r="T3" s="25"/>
      <c r="U3" s="24"/>
      <c r="V3" s="81"/>
      <c r="W3" s="81"/>
      <c r="X3" s="24"/>
      <c r="Y3" s="24"/>
      <c r="Z3" s="24"/>
      <c r="AA3" s="24"/>
      <c r="AB3" s="24"/>
      <c r="AC3" s="24"/>
      <c r="AD3" s="24"/>
      <c r="AE3" s="81"/>
      <c r="AF3" s="81"/>
      <c r="AG3" s="25"/>
      <c r="AH3" s="24"/>
      <c r="AI3" s="81"/>
      <c r="AJ3" s="24"/>
      <c r="AK3" s="24"/>
      <c r="AL3" s="24"/>
      <c r="AM3" s="24"/>
      <c r="AN3" s="81"/>
      <c r="AO3" s="24"/>
      <c r="AP3" s="81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9"/>
      <c r="BS3" s="24"/>
      <c r="BT3" s="24"/>
      <c r="BU3" s="29"/>
      <c r="BV3" s="29" t="s">
        <v>174</v>
      </c>
      <c r="BW3" s="68">
        <v>1</v>
      </c>
      <c r="BX3" s="66"/>
      <c r="BY3" s="67" t="s">
        <v>623</v>
      </c>
      <c r="BZ3" t="s">
        <v>39</v>
      </c>
    </row>
    <row r="4" spans="1:78" x14ac:dyDescent="0.15">
      <c r="A4" s="33"/>
      <c r="B4" s="26">
        <v>42656</v>
      </c>
      <c r="C4" s="27" t="s">
        <v>377</v>
      </c>
      <c r="D4" s="68" t="s">
        <v>454</v>
      </c>
      <c r="E4" s="24"/>
      <c r="F4" s="24" t="s">
        <v>379</v>
      </c>
      <c r="G4" s="28">
        <v>42551</v>
      </c>
      <c r="H4" s="29" t="s">
        <v>175</v>
      </c>
      <c r="I4" s="29" t="s">
        <v>174</v>
      </c>
      <c r="J4" s="29"/>
      <c r="K4" s="24" t="s">
        <v>298</v>
      </c>
      <c r="L4" s="68" t="s">
        <v>624</v>
      </c>
      <c r="M4" s="81">
        <v>79.518181818181816</v>
      </c>
      <c r="N4" s="81">
        <v>29.881818181818176</v>
      </c>
      <c r="O4" s="24"/>
      <c r="P4" s="24"/>
      <c r="Q4" s="81"/>
      <c r="R4" s="24"/>
      <c r="S4" s="81"/>
      <c r="T4" s="24"/>
      <c r="U4" s="24"/>
      <c r="V4" s="81"/>
      <c r="W4" s="81"/>
      <c r="X4" s="24"/>
      <c r="Y4" s="24"/>
      <c r="Z4" s="24"/>
      <c r="AA4" s="24"/>
      <c r="AB4" s="24"/>
      <c r="AC4" s="24"/>
      <c r="AD4" s="24"/>
      <c r="AE4" s="81"/>
      <c r="AF4" s="81"/>
      <c r="AG4" s="24"/>
      <c r="AH4" s="24"/>
      <c r="AI4" s="81"/>
      <c r="AJ4" s="24"/>
      <c r="AK4" s="24"/>
      <c r="AL4" s="24"/>
      <c r="AM4" s="24"/>
      <c r="AN4" s="81"/>
      <c r="AO4" s="24"/>
      <c r="AP4" s="81"/>
      <c r="AQ4" s="24" t="s">
        <v>381</v>
      </c>
      <c r="AR4" s="29" t="s">
        <v>174</v>
      </c>
      <c r="AS4" s="29"/>
      <c r="AT4" s="29"/>
      <c r="AU4" s="29" t="s">
        <v>382</v>
      </c>
      <c r="AV4" s="29">
        <v>14</v>
      </c>
      <c r="AW4" s="29"/>
      <c r="AX4" s="29"/>
      <c r="AY4" s="29"/>
      <c r="AZ4" s="29" t="s">
        <v>174</v>
      </c>
      <c r="BA4" s="24"/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9"/>
      <c r="BS4" s="30"/>
      <c r="BT4" s="30"/>
      <c r="BU4" s="29"/>
      <c r="BV4" s="29" t="s">
        <v>174</v>
      </c>
      <c r="BW4" s="24">
        <v>1</v>
      </c>
      <c r="BX4" s="66"/>
      <c r="BY4" s="32" t="s">
        <v>625</v>
      </c>
      <c r="BZ4" t="s">
        <v>77</v>
      </c>
    </row>
    <row r="5" spans="1:78" x14ac:dyDescent="0.15">
      <c r="A5" s="33">
        <v>242</v>
      </c>
      <c r="B5" s="26">
        <v>42656</v>
      </c>
      <c r="C5" s="27" t="s">
        <v>377</v>
      </c>
      <c r="D5" s="68" t="s">
        <v>454</v>
      </c>
      <c r="E5" s="24"/>
      <c r="F5" s="24" t="s">
        <v>379</v>
      </c>
      <c r="G5" s="28">
        <v>42551</v>
      </c>
      <c r="H5" s="29" t="s">
        <v>175</v>
      </c>
      <c r="I5" s="29" t="s">
        <v>174</v>
      </c>
      <c r="J5" s="29"/>
      <c r="K5" s="24" t="s">
        <v>299</v>
      </c>
      <c r="L5" s="24" t="s">
        <v>446</v>
      </c>
      <c r="M5" s="81">
        <v>95.663636363636357</v>
      </c>
      <c r="N5" s="81">
        <v>33.754545454545458</v>
      </c>
      <c r="O5" s="24"/>
      <c r="P5" s="25"/>
      <c r="Q5" s="81"/>
      <c r="R5" s="25"/>
      <c r="S5" s="81"/>
      <c r="T5" s="24"/>
      <c r="U5" s="24"/>
      <c r="V5" s="81"/>
      <c r="W5" s="81"/>
      <c r="X5" s="24"/>
      <c r="Y5" s="24"/>
      <c r="Z5" s="24"/>
      <c r="AA5" s="24"/>
      <c r="AB5" s="24"/>
      <c r="AC5" s="24"/>
      <c r="AD5" s="24"/>
      <c r="AE5" s="81"/>
      <c r="AF5" s="81"/>
      <c r="AG5" s="25"/>
      <c r="AH5" s="24"/>
      <c r="AI5" s="81"/>
      <c r="AJ5" s="24"/>
      <c r="AK5" s="24"/>
      <c r="AL5" s="24"/>
      <c r="AM5" s="24"/>
      <c r="AN5" s="81"/>
      <c r="AO5" s="24"/>
      <c r="AP5" s="81"/>
      <c r="AQ5" s="24" t="s">
        <v>381</v>
      </c>
      <c r="AR5" s="29" t="s">
        <v>174</v>
      </c>
      <c r="AS5" s="29"/>
      <c r="AT5" s="29"/>
      <c r="AU5" s="29" t="s">
        <v>382</v>
      </c>
      <c r="AV5" s="29">
        <v>11.6</v>
      </c>
      <c r="AW5" s="29"/>
      <c r="AX5" s="29"/>
      <c r="AY5" s="29"/>
      <c r="AZ5" s="29" t="s">
        <v>174</v>
      </c>
      <c r="BA5" s="24"/>
      <c r="BB5" s="29">
        <v>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/>
      <c r="BO5" s="29" t="s">
        <v>174</v>
      </c>
      <c r="BP5" s="29"/>
      <c r="BQ5" s="29"/>
      <c r="BR5" s="29"/>
      <c r="BS5" s="30"/>
      <c r="BT5" s="24"/>
      <c r="BU5" s="29"/>
      <c r="BV5" s="29" t="s">
        <v>174</v>
      </c>
      <c r="BW5" s="24"/>
      <c r="BY5" s="32" t="s">
        <v>626</v>
      </c>
      <c r="BZ5" t="s">
        <v>77</v>
      </c>
    </row>
    <row r="6" spans="1:78" x14ac:dyDescent="0.15">
      <c r="A6" s="33">
        <v>5770</v>
      </c>
      <c r="B6" s="26">
        <v>42657</v>
      </c>
      <c r="C6" s="27" t="s">
        <v>377</v>
      </c>
      <c r="D6" s="68" t="s">
        <v>454</v>
      </c>
      <c r="E6" s="24"/>
      <c r="F6" s="24" t="s">
        <v>379</v>
      </c>
      <c r="G6" s="28">
        <v>42643</v>
      </c>
      <c r="H6" s="29" t="s">
        <v>175</v>
      </c>
      <c r="I6" s="29" t="s">
        <v>174</v>
      </c>
      <c r="J6" s="29"/>
      <c r="K6" s="24" t="s">
        <v>300</v>
      </c>
      <c r="L6" s="24" t="s">
        <v>517</v>
      </c>
      <c r="M6" s="81">
        <v>99.5</v>
      </c>
      <c r="N6" s="81">
        <v>37.554545454545455</v>
      </c>
      <c r="O6" s="24" t="s">
        <v>518</v>
      </c>
      <c r="P6" s="25">
        <v>1000</v>
      </c>
      <c r="Q6" s="81">
        <v>39.954545454545453</v>
      </c>
      <c r="R6" s="25"/>
      <c r="S6" s="81"/>
      <c r="T6" s="25"/>
      <c r="U6" s="24"/>
      <c r="V6" s="81"/>
      <c r="W6" s="81"/>
      <c r="X6" s="24"/>
      <c r="Y6" s="24"/>
      <c r="Z6" s="24"/>
      <c r="AA6" s="24"/>
      <c r="AB6" s="24"/>
      <c r="AC6" s="24"/>
      <c r="AD6" s="24"/>
      <c r="AE6" s="81"/>
      <c r="AF6" s="81"/>
      <c r="AG6" s="25"/>
      <c r="AH6" s="24"/>
      <c r="AI6" s="81"/>
      <c r="AJ6" s="24"/>
      <c r="AK6" s="24"/>
      <c r="AL6" s="24"/>
      <c r="AM6" s="24"/>
      <c r="AN6" s="81"/>
      <c r="AO6" s="24"/>
      <c r="AP6" s="81"/>
      <c r="AQ6" s="24" t="s">
        <v>381</v>
      </c>
      <c r="AR6" s="29" t="s">
        <v>174</v>
      </c>
      <c r="AS6" s="29"/>
      <c r="AT6" s="29"/>
      <c r="AU6" s="29" t="s">
        <v>382</v>
      </c>
      <c r="AV6" s="29">
        <v>10.199999999999999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9"/>
      <c r="BS6" s="24"/>
      <c r="BT6" s="24"/>
      <c r="BU6" s="29"/>
      <c r="BV6" s="29" t="s">
        <v>174</v>
      </c>
      <c r="BW6" s="24"/>
      <c r="BY6" s="32" t="s">
        <v>627</v>
      </c>
      <c r="BZ6" t="s">
        <v>39</v>
      </c>
    </row>
    <row r="7" spans="1:78" x14ac:dyDescent="0.15">
      <c r="A7" s="33">
        <v>5268</v>
      </c>
      <c r="B7" s="26">
        <v>42657</v>
      </c>
      <c r="C7" s="27" t="s">
        <v>377</v>
      </c>
      <c r="D7" s="68" t="s">
        <v>454</v>
      </c>
      <c r="E7" s="24"/>
      <c r="F7" s="24" t="s">
        <v>379</v>
      </c>
      <c r="G7" s="28">
        <v>42582</v>
      </c>
      <c r="H7" s="29" t="s">
        <v>175</v>
      </c>
      <c r="I7" s="29" t="s">
        <v>174</v>
      </c>
      <c r="J7" s="29"/>
      <c r="K7" s="24" t="s">
        <v>301</v>
      </c>
      <c r="L7" s="24" t="s">
        <v>520</v>
      </c>
      <c r="M7" s="81">
        <v>97.999999999999986</v>
      </c>
      <c r="N7" s="81">
        <v>35.963636363636361</v>
      </c>
      <c r="O7" s="24"/>
      <c r="P7" s="25"/>
      <c r="Q7" s="81"/>
      <c r="R7" s="25"/>
      <c r="S7" s="81"/>
      <c r="T7" s="25"/>
      <c r="U7" s="24"/>
      <c r="V7" s="81"/>
      <c r="W7" s="81"/>
      <c r="X7" s="25"/>
      <c r="Y7" s="24"/>
      <c r="Z7" s="25"/>
      <c r="AA7" s="24"/>
      <c r="AB7" s="25"/>
      <c r="AC7" s="24"/>
      <c r="AD7" s="24"/>
      <c r="AE7" s="81"/>
      <c r="AF7" s="81"/>
      <c r="AG7" s="25"/>
      <c r="AH7" s="24"/>
      <c r="AI7" s="81"/>
      <c r="AJ7" s="24"/>
      <c r="AK7" s="24"/>
      <c r="AL7" s="24"/>
      <c r="AM7" s="24"/>
      <c r="AN7" s="81"/>
      <c r="AO7" s="24"/>
      <c r="AP7" s="81"/>
      <c r="AQ7" s="24" t="s">
        <v>381</v>
      </c>
      <c r="AR7" s="29" t="s">
        <v>174</v>
      </c>
      <c r="AS7" s="29"/>
      <c r="AT7" s="29"/>
      <c r="AU7" s="29" t="s">
        <v>382</v>
      </c>
      <c r="AV7" s="29">
        <v>12.65</v>
      </c>
      <c r="AW7" s="29"/>
      <c r="AX7" s="29"/>
      <c r="AY7" s="29"/>
      <c r="AZ7" s="29" t="s">
        <v>361</v>
      </c>
      <c r="BA7" s="24"/>
      <c r="BB7" s="29">
        <v>3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>
        <v>12</v>
      </c>
      <c r="BO7" s="29" t="s">
        <v>174</v>
      </c>
      <c r="BP7" s="29"/>
      <c r="BQ7" s="29"/>
      <c r="BR7" s="29"/>
      <c r="BS7" s="24"/>
      <c r="BT7" s="24"/>
      <c r="BU7" s="29"/>
      <c r="BV7" s="29" t="s">
        <v>174</v>
      </c>
      <c r="BW7" s="24"/>
      <c r="BX7" s="66"/>
      <c r="BY7" s="67" t="s">
        <v>628</v>
      </c>
      <c r="BZ7" t="s">
        <v>39</v>
      </c>
    </row>
    <row r="8" spans="1:78" x14ac:dyDescent="0.15">
      <c r="A8" s="33">
        <v>4783</v>
      </c>
      <c r="B8" s="26">
        <v>42657</v>
      </c>
      <c r="C8" s="27" t="s">
        <v>377</v>
      </c>
      <c r="D8" s="68" t="s">
        <v>454</v>
      </c>
      <c r="E8" s="24"/>
      <c r="F8" s="24" t="s">
        <v>379</v>
      </c>
      <c r="G8" s="28">
        <v>42606</v>
      </c>
      <c r="H8" s="29" t="s">
        <v>175</v>
      </c>
      <c r="I8" s="29" t="s">
        <v>174</v>
      </c>
      <c r="J8" s="29"/>
      <c r="K8" s="24" t="s">
        <v>302</v>
      </c>
      <c r="L8" s="24" t="s">
        <v>521</v>
      </c>
      <c r="M8" s="81">
        <v>86.018181818181816</v>
      </c>
      <c r="N8" s="81">
        <v>33.890909090909091</v>
      </c>
      <c r="O8" s="24"/>
      <c r="P8" s="25"/>
      <c r="Q8" s="81"/>
      <c r="R8" s="25"/>
      <c r="S8" s="81"/>
      <c r="T8" s="25"/>
      <c r="U8" s="24"/>
      <c r="V8" s="81"/>
      <c r="W8" s="81"/>
      <c r="X8" s="24"/>
      <c r="Y8" s="24"/>
      <c r="Z8" s="24"/>
      <c r="AA8" s="24"/>
      <c r="AB8" s="24"/>
      <c r="AC8" s="24"/>
      <c r="AD8" s="24"/>
      <c r="AE8" s="81"/>
      <c r="AF8" s="81"/>
      <c r="AG8" s="25"/>
      <c r="AH8" s="24"/>
      <c r="AI8" s="81"/>
      <c r="AJ8" s="24"/>
      <c r="AK8" s="24"/>
      <c r="AL8" s="24"/>
      <c r="AM8" s="24"/>
      <c r="AN8" s="81"/>
      <c r="AO8" s="24"/>
      <c r="AP8" s="81"/>
      <c r="AQ8" s="24" t="s">
        <v>381</v>
      </c>
      <c r="AR8" s="29" t="s">
        <v>174</v>
      </c>
      <c r="AS8" s="29"/>
      <c r="AT8" s="29"/>
      <c r="AU8" s="29" t="s">
        <v>382</v>
      </c>
      <c r="AV8" s="29">
        <v>12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/>
      <c r="BO8" s="29" t="s">
        <v>174</v>
      </c>
      <c r="BP8" s="29"/>
      <c r="BQ8" s="29"/>
      <c r="BR8" s="29"/>
      <c r="BS8" s="24"/>
      <c r="BT8" s="24"/>
      <c r="BU8" s="29"/>
      <c r="BV8" s="29" t="s">
        <v>174</v>
      </c>
      <c r="BW8" s="24"/>
      <c r="BX8" s="66"/>
      <c r="BY8" s="67" t="s">
        <v>618</v>
      </c>
      <c r="BZ8" t="s">
        <v>77</v>
      </c>
    </row>
    <row r="9" spans="1:78" x14ac:dyDescent="0.15">
      <c r="A9" s="33">
        <v>931</v>
      </c>
      <c r="B9" s="26">
        <v>42657</v>
      </c>
      <c r="C9" s="27" t="s">
        <v>377</v>
      </c>
      <c r="D9" s="68" t="s">
        <v>454</v>
      </c>
      <c r="E9" s="24"/>
      <c r="F9" s="24" t="s">
        <v>379</v>
      </c>
      <c r="G9" s="28">
        <v>42634</v>
      </c>
      <c r="H9" s="29" t="s">
        <v>175</v>
      </c>
      <c r="I9" s="29" t="s">
        <v>174</v>
      </c>
      <c r="J9" s="29"/>
      <c r="K9" s="24" t="s">
        <v>303</v>
      </c>
      <c r="L9" s="24" t="s">
        <v>522</v>
      </c>
      <c r="M9" s="81">
        <v>121.99999999999999</v>
      </c>
      <c r="N9" s="81">
        <v>31.927272727272722</v>
      </c>
      <c r="O9" s="24"/>
      <c r="P9" s="25"/>
      <c r="Q9" s="81"/>
      <c r="R9" s="25"/>
      <c r="S9" s="81"/>
      <c r="T9" s="24"/>
      <c r="U9" s="24"/>
      <c r="V9" s="81"/>
      <c r="W9" s="81"/>
      <c r="X9" s="24"/>
      <c r="Y9" s="24"/>
      <c r="Z9" s="24"/>
      <c r="AA9" s="24"/>
      <c r="AB9" s="24"/>
      <c r="AC9" s="24"/>
      <c r="AD9" s="24"/>
      <c r="AE9" s="81"/>
      <c r="AF9" s="81"/>
      <c r="AG9" s="25"/>
      <c r="AH9" s="24"/>
      <c r="AI9" s="81"/>
      <c r="AJ9" s="24"/>
      <c r="AK9" s="24"/>
      <c r="AL9" s="24"/>
      <c r="AM9" s="24"/>
      <c r="AN9" s="81"/>
      <c r="AO9" s="24"/>
      <c r="AP9" s="81"/>
      <c r="AQ9" s="24" t="s">
        <v>381</v>
      </c>
      <c r="AR9" s="29" t="s">
        <v>174</v>
      </c>
      <c r="AS9" s="29"/>
      <c r="AT9" s="29"/>
      <c r="AU9" s="29" t="s">
        <v>382</v>
      </c>
      <c r="AV9" s="29">
        <v>6.8</v>
      </c>
      <c r="AW9" s="29"/>
      <c r="AX9" s="29"/>
      <c r="AY9" s="29"/>
      <c r="AZ9" s="29" t="s">
        <v>361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/>
      <c r="BO9" s="29" t="s">
        <v>174</v>
      </c>
      <c r="BP9" s="29"/>
      <c r="BQ9" s="29"/>
      <c r="BR9" s="29"/>
      <c r="BS9" s="24"/>
      <c r="BT9" s="24"/>
      <c r="BU9" s="29"/>
      <c r="BV9" s="29" t="s">
        <v>174</v>
      </c>
      <c r="BW9" s="24"/>
      <c r="BY9" s="32" t="s">
        <v>629</v>
      </c>
      <c r="BZ9" t="s">
        <v>77</v>
      </c>
    </row>
    <row r="10" spans="1:78" x14ac:dyDescent="0.15">
      <c r="A10" s="33">
        <v>5408</v>
      </c>
      <c r="B10" s="26">
        <v>42657</v>
      </c>
      <c r="C10" s="27" t="s">
        <v>377</v>
      </c>
      <c r="D10" s="68" t="s">
        <v>454</v>
      </c>
      <c r="E10" s="24"/>
      <c r="F10" s="24" t="s">
        <v>379</v>
      </c>
      <c r="G10" s="26">
        <v>42551</v>
      </c>
      <c r="H10" s="29" t="s">
        <v>175</v>
      </c>
      <c r="I10" s="29" t="s">
        <v>174</v>
      </c>
      <c r="J10" s="29"/>
      <c r="K10" s="24" t="s">
        <v>304</v>
      </c>
      <c r="L10" s="24" t="s">
        <v>523</v>
      </c>
      <c r="M10" s="81">
        <v>82.054545454545448</v>
      </c>
      <c r="N10" s="81">
        <v>36.25454545454545</v>
      </c>
      <c r="O10" s="24"/>
      <c r="P10" s="25"/>
      <c r="Q10" s="81"/>
      <c r="R10" s="25"/>
      <c r="S10" s="81"/>
      <c r="T10" s="25"/>
      <c r="U10" s="24"/>
      <c r="V10" s="81"/>
      <c r="W10" s="81"/>
      <c r="X10" s="24"/>
      <c r="Y10" s="24"/>
      <c r="Z10" s="25"/>
      <c r="AA10" s="24"/>
      <c r="AB10" s="25"/>
      <c r="AC10" s="24"/>
      <c r="AD10" s="24"/>
      <c r="AE10" s="81"/>
      <c r="AF10" s="81"/>
      <c r="AG10" s="25"/>
      <c r="AH10" s="24"/>
      <c r="AI10" s="81"/>
      <c r="AJ10" s="24"/>
      <c r="AK10" s="24"/>
      <c r="AL10" s="24"/>
      <c r="AM10" s="24"/>
      <c r="AN10" s="81"/>
      <c r="AO10" s="24"/>
      <c r="AP10" s="81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8</v>
      </c>
      <c r="AW10" s="29"/>
      <c r="AX10" s="29"/>
      <c r="AY10" s="29"/>
      <c r="AZ10" s="29" t="s">
        <v>361</v>
      </c>
      <c r="BA10" s="24"/>
      <c r="BB10" s="29">
        <v>14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/>
      <c r="BM10" s="29" t="s">
        <v>174</v>
      </c>
      <c r="BN10" s="29">
        <v>12</v>
      </c>
      <c r="BO10" s="29" t="s">
        <v>174</v>
      </c>
      <c r="BP10" s="29"/>
      <c r="BQ10" s="29"/>
      <c r="BR10" s="29"/>
      <c r="BS10" s="24"/>
      <c r="BT10" s="24"/>
      <c r="BU10" s="29"/>
      <c r="BV10" s="29" t="s">
        <v>174</v>
      </c>
      <c r="BW10" s="24"/>
      <c r="BX10" s="66"/>
      <c r="BY10" s="67" t="s">
        <v>630</v>
      </c>
      <c r="BZ10" t="s">
        <v>77</v>
      </c>
    </row>
    <row r="11" spans="1:78" x14ac:dyDescent="0.15">
      <c r="A11" s="33"/>
      <c r="B11" s="26">
        <v>42657</v>
      </c>
      <c r="C11" s="27" t="s">
        <v>377</v>
      </c>
      <c r="D11" s="68" t="s">
        <v>454</v>
      </c>
      <c r="E11" s="24"/>
      <c r="F11" s="24" t="s">
        <v>379</v>
      </c>
      <c r="G11" s="28">
        <v>42551</v>
      </c>
      <c r="H11" s="29" t="s">
        <v>175</v>
      </c>
      <c r="I11" s="29" t="s">
        <v>174</v>
      </c>
      <c r="J11" s="29"/>
      <c r="K11" s="24" t="s">
        <v>305</v>
      </c>
      <c r="L11" s="24" t="s">
        <v>631</v>
      </c>
      <c r="M11" s="81">
        <v>77.427272727272722</v>
      </c>
      <c r="N11" s="81">
        <v>31.418181818181818</v>
      </c>
      <c r="O11" s="24"/>
      <c r="P11" s="25"/>
      <c r="Q11" s="81"/>
      <c r="R11" s="25"/>
      <c r="S11" s="81"/>
      <c r="T11" s="25"/>
      <c r="U11" s="24"/>
      <c r="V11" s="81"/>
      <c r="W11" s="81"/>
      <c r="X11" s="24"/>
      <c r="Y11" s="24"/>
      <c r="Z11" s="25"/>
      <c r="AA11" s="24"/>
      <c r="AB11" s="25"/>
      <c r="AC11" s="24"/>
      <c r="AD11" s="24"/>
      <c r="AE11" s="81"/>
      <c r="AF11" s="81"/>
      <c r="AG11" s="25"/>
      <c r="AH11" s="24"/>
      <c r="AI11" s="81"/>
      <c r="AJ11" s="24"/>
      <c r="AK11" s="24"/>
      <c r="AL11" s="24"/>
      <c r="AM11" s="24"/>
      <c r="AN11" s="81"/>
      <c r="AO11" s="24"/>
      <c r="AP11" s="81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12.4</v>
      </c>
      <c r="AW11" s="29"/>
      <c r="AX11" s="29"/>
      <c r="AY11" s="29"/>
      <c r="AZ11" s="29" t="s">
        <v>361</v>
      </c>
      <c r="BA11" s="24"/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>
        <v>12</v>
      </c>
      <c r="BO11" s="29" t="s">
        <v>174</v>
      </c>
      <c r="BP11" s="29"/>
      <c r="BQ11" s="29"/>
      <c r="BR11" s="29"/>
      <c r="BS11" s="24"/>
      <c r="BT11" s="24"/>
      <c r="BU11" s="29"/>
      <c r="BV11" s="29" t="s">
        <v>174</v>
      </c>
      <c r="BW11" s="30"/>
      <c r="BX11" s="66"/>
      <c r="BY11" s="32" t="s">
        <v>587</v>
      </c>
      <c r="BZ11" t="s">
        <v>452</v>
      </c>
    </row>
    <row r="12" spans="1:78" x14ac:dyDescent="0.15">
      <c r="A12" s="33">
        <v>5942</v>
      </c>
      <c r="B12" s="26">
        <v>42657</v>
      </c>
      <c r="C12" s="27" t="s">
        <v>377</v>
      </c>
      <c r="D12" s="68" t="s">
        <v>454</v>
      </c>
      <c r="E12" s="24"/>
      <c r="F12" s="24" t="s">
        <v>379</v>
      </c>
      <c r="G12" s="28">
        <v>42606</v>
      </c>
      <c r="H12" s="29" t="s">
        <v>175</v>
      </c>
      <c r="I12" s="29" t="s">
        <v>174</v>
      </c>
      <c r="J12" s="29"/>
      <c r="K12" s="24" t="s">
        <v>306</v>
      </c>
      <c r="L12" s="24" t="s">
        <v>525</v>
      </c>
      <c r="M12" s="81">
        <v>87.1</v>
      </c>
      <c r="N12" s="81">
        <v>35.099999999999994</v>
      </c>
      <c r="O12" s="24"/>
      <c r="P12" s="25"/>
      <c r="Q12" s="81"/>
      <c r="R12" s="25"/>
      <c r="S12" s="81"/>
      <c r="T12" s="24"/>
      <c r="U12" s="24"/>
      <c r="V12" s="81"/>
      <c r="W12" s="81"/>
      <c r="X12" s="24"/>
      <c r="Y12" s="24"/>
      <c r="Z12" s="24"/>
      <c r="AA12" s="24"/>
      <c r="AB12" s="24"/>
      <c r="AC12" s="24"/>
      <c r="AD12" s="24"/>
      <c r="AE12" s="81"/>
      <c r="AF12" s="81"/>
      <c r="AG12" s="25"/>
      <c r="AH12" s="24"/>
      <c r="AI12" s="81"/>
      <c r="AJ12" s="24"/>
      <c r="AK12" s="24"/>
      <c r="AL12" s="24"/>
      <c r="AM12" s="24"/>
      <c r="AN12" s="81"/>
      <c r="AO12" s="24"/>
      <c r="AP12" s="81"/>
      <c r="AQ12" s="24" t="s">
        <v>381</v>
      </c>
      <c r="AR12" s="29" t="s">
        <v>174</v>
      </c>
      <c r="AS12" s="29"/>
      <c r="AT12" s="29"/>
      <c r="AU12" s="29" t="s">
        <v>382</v>
      </c>
      <c r="AV12" s="29">
        <v>11.5</v>
      </c>
      <c r="AW12" s="29"/>
      <c r="AX12" s="29"/>
      <c r="AY12" s="29"/>
      <c r="AZ12" s="29" t="s">
        <v>361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174</v>
      </c>
      <c r="BN12" s="29"/>
      <c r="BO12" s="29" t="s">
        <v>174</v>
      </c>
      <c r="BP12" s="29"/>
      <c r="BQ12" s="29"/>
      <c r="BR12" s="283"/>
      <c r="BS12" s="30"/>
      <c r="BT12" s="30"/>
      <c r="BU12" s="29"/>
      <c r="BV12" s="29" t="s">
        <v>174</v>
      </c>
      <c r="BW12" s="24"/>
      <c r="BY12" s="32" t="s">
        <v>588</v>
      </c>
      <c r="BZ12" t="s">
        <v>77</v>
      </c>
    </row>
    <row r="13" spans="1:78" x14ac:dyDescent="0.15">
      <c r="A13" s="33"/>
      <c r="B13" s="26">
        <v>42657</v>
      </c>
      <c r="C13" s="27" t="s">
        <v>377</v>
      </c>
      <c r="D13" s="68" t="s">
        <v>454</v>
      </c>
      <c r="E13" s="24"/>
      <c r="F13" s="24" t="s">
        <v>379</v>
      </c>
      <c r="G13" s="28">
        <v>42647</v>
      </c>
      <c r="H13" s="29" t="s">
        <v>175</v>
      </c>
      <c r="I13" s="29" t="s">
        <v>174</v>
      </c>
      <c r="J13" s="29"/>
      <c r="K13" s="24" t="s">
        <v>307</v>
      </c>
      <c r="L13" s="24" t="s">
        <v>327</v>
      </c>
      <c r="M13" s="81">
        <v>92.054545454545448</v>
      </c>
      <c r="N13" s="81">
        <v>36.072727272727271</v>
      </c>
      <c r="O13" s="24"/>
      <c r="P13" s="25"/>
      <c r="Q13" s="81"/>
      <c r="R13" s="25"/>
      <c r="S13" s="81"/>
      <c r="T13" s="25"/>
      <c r="U13" s="24"/>
      <c r="V13" s="81"/>
      <c r="W13" s="81"/>
      <c r="X13" s="24"/>
      <c r="Y13" s="24"/>
      <c r="Z13" s="24"/>
      <c r="AA13" s="24"/>
      <c r="AB13" s="24"/>
      <c r="AC13" s="24"/>
      <c r="AD13" s="24"/>
      <c r="AE13" s="81"/>
      <c r="AF13" s="81"/>
      <c r="AG13" s="24"/>
      <c r="AH13" s="24"/>
      <c r="AI13" s="81"/>
      <c r="AJ13" s="24"/>
      <c r="AK13" s="24"/>
      <c r="AL13" s="24"/>
      <c r="AM13" s="24"/>
      <c r="AN13" s="81"/>
      <c r="AO13" s="24"/>
      <c r="AP13" s="81"/>
      <c r="AQ13" s="24" t="s">
        <v>381</v>
      </c>
      <c r="AR13" s="29" t="s">
        <v>174</v>
      </c>
      <c r="AS13" s="29"/>
      <c r="AT13" s="29"/>
      <c r="AU13" s="29" t="s">
        <v>382</v>
      </c>
      <c r="AV13" s="29">
        <v>10</v>
      </c>
      <c r="AW13" s="29"/>
      <c r="AX13" s="29"/>
      <c r="AY13" s="29"/>
      <c r="AZ13" s="29" t="s">
        <v>174</v>
      </c>
      <c r="BA13" s="24"/>
      <c r="BB13" s="29">
        <v>11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/>
      <c r="BO13" s="29" t="s">
        <v>174</v>
      </c>
      <c r="BP13" s="29"/>
      <c r="BQ13" s="29"/>
      <c r="BR13" s="29"/>
      <c r="BS13" s="24"/>
      <c r="BT13" s="24"/>
      <c r="BU13" s="29"/>
      <c r="BV13" s="29" t="s">
        <v>174</v>
      </c>
      <c r="BW13" s="24"/>
      <c r="BY13" s="67" t="s">
        <v>632</v>
      </c>
      <c r="BZ13" t="s">
        <v>77</v>
      </c>
    </row>
    <row r="14" spans="1:78" x14ac:dyDescent="0.15">
      <c r="A14" s="33">
        <v>6342</v>
      </c>
      <c r="B14" s="26">
        <v>42663</v>
      </c>
      <c r="C14" s="27" t="s">
        <v>377</v>
      </c>
      <c r="D14" s="68" t="s">
        <v>454</v>
      </c>
      <c r="E14" s="24"/>
      <c r="F14" s="24" t="s">
        <v>379</v>
      </c>
      <c r="G14" s="31">
        <v>42635</v>
      </c>
      <c r="H14" s="29" t="s">
        <v>175</v>
      </c>
      <c r="I14" s="29" t="s">
        <v>174</v>
      </c>
      <c r="J14" s="29"/>
      <c r="K14" s="24" t="s">
        <v>419</v>
      </c>
      <c r="L14" s="24" t="s">
        <v>633</v>
      </c>
      <c r="M14" s="91">
        <v>95.654545454545442</v>
      </c>
      <c r="N14" s="81">
        <v>27.290909090909089</v>
      </c>
      <c r="O14" s="24" t="s">
        <v>518</v>
      </c>
      <c r="P14" s="24">
        <v>2500</v>
      </c>
      <c r="Q14" s="81">
        <v>27.909090909090907</v>
      </c>
      <c r="R14" s="24">
        <v>10000</v>
      </c>
      <c r="S14" s="81">
        <v>27.9</v>
      </c>
      <c r="T14" s="24"/>
      <c r="U14" s="24"/>
      <c r="V14" s="81"/>
      <c r="W14" s="81"/>
      <c r="X14" s="24"/>
      <c r="Y14" s="24"/>
      <c r="Z14" s="24"/>
      <c r="AA14" s="24"/>
      <c r="AB14" s="24"/>
      <c r="AC14" s="24"/>
      <c r="AD14" s="24"/>
      <c r="AE14" s="81"/>
      <c r="AF14" s="81"/>
      <c r="AG14" s="24"/>
      <c r="AH14" s="24"/>
      <c r="AI14" s="91"/>
      <c r="AJ14" s="24"/>
      <c r="AK14" s="24"/>
      <c r="AL14" s="24"/>
      <c r="AM14" s="24"/>
      <c r="AN14" s="81"/>
      <c r="AO14" s="24"/>
      <c r="AP14" s="81"/>
      <c r="AQ14" t="s">
        <v>381</v>
      </c>
      <c r="AR14" s="29" t="s">
        <v>174</v>
      </c>
      <c r="AS14" s="29"/>
      <c r="AT14" s="29"/>
      <c r="AU14" s="29" t="s">
        <v>382</v>
      </c>
      <c r="AV14" s="29">
        <v>6.8</v>
      </c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74" t="s">
        <v>174</v>
      </c>
      <c r="BN14" s="29"/>
      <c r="BO14" s="29" t="s">
        <v>174</v>
      </c>
      <c r="BP14" s="29"/>
      <c r="BQ14" s="29"/>
      <c r="BR14" s="29"/>
      <c r="BS14" s="30"/>
      <c r="BT14" s="30"/>
      <c r="BU14" s="29"/>
      <c r="BV14" s="29" t="s">
        <v>174</v>
      </c>
      <c r="BW14" s="24">
        <v>1</v>
      </c>
      <c r="BY14" s="67" t="s">
        <v>675</v>
      </c>
      <c r="BZ14" s="66" t="s">
        <v>39</v>
      </c>
    </row>
    <row r="15" spans="1:78" x14ac:dyDescent="0.15">
      <c r="A15" s="33">
        <v>5633</v>
      </c>
      <c r="B15" s="26">
        <v>42657</v>
      </c>
      <c r="C15" s="27" t="s">
        <v>377</v>
      </c>
      <c r="D15" s="68" t="s">
        <v>454</v>
      </c>
      <c r="E15" s="24"/>
      <c r="F15" s="24" t="s">
        <v>379</v>
      </c>
      <c r="G15" s="31">
        <v>42551</v>
      </c>
      <c r="H15" s="74" t="s">
        <v>175</v>
      </c>
      <c r="I15" s="74" t="s">
        <v>174</v>
      </c>
      <c r="J15" s="29"/>
      <c r="K15" s="24" t="s">
        <v>495</v>
      </c>
      <c r="L15" s="68" t="s">
        <v>529</v>
      </c>
      <c r="M15" s="81">
        <v>120.68181818181817</v>
      </c>
      <c r="N15" s="81">
        <v>33.790909090909089</v>
      </c>
      <c r="O15" s="24"/>
      <c r="P15" s="25"/>
      <c r="Q15" s="81"/>
      <c r="R15" s="25"/>
      <c r="S15" s="81"/>
      <c r="T15" s="24"/>
      <c r="U15" s="24"/>
      <c r="V15" s="81"/>
      <c r="W15" s="81"/>
      <c r="X15" s="24"/>
      <c r="Y15" s="24"/>
      <c r="Z15" s="24"/>
      <c r="AA15" s="24"/>
      <c r="AB15" s="24"/>
      <c r="AC15" s="24"/>
      <c r="AD15" s="24"/>
      <c r="AE15" s="81"/>
      <c r="AF15" s="81"/>
      <c r="AG15" s="25"/>
      <c r="AH15" s="24"/>
      <c r="AI15" s="81"/>
      <c r="AJ15" s="24"/>
      <c r="AK15" s="24"/>
      <c r="AL15" s="24"/>
      <c r="AM15" s="24"/>
      <c r="AN15" s="81"/>
      <c r="AO15" s="24"/>
      <c r="AP15" s="81"/>
      <c r="AQ15" s="24" t="s">
        <v>381</v>
      </c>
      <c r="AR15" s="29" t="s">
        <v>174</v>
      </c>
      <c r="AS15" s="29"/>
      <c r="AT15" s="29"/>
      <c r="AU15" s="74" t="s">
        <v>382</v>
      </c>
      <c r="AV15" s="29">
        <v>7.5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6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29"/>
      <c r="BQ15" s="29"/>
      <c r="BR15" s="29"/>
      <c r="BS15" s="30"/>
      <c r="BT15" s="30"/>
      <c r="BU15" s="29"/>
      <c r="BV15" s="29" t="s">
        <v>174</v>
      </c>
      <c r="BW15" s="24">
        <v>1</v>
      </c>
      <c r="BY15" s="32" t="s">
        <v>591</v>
      </c>
      <c r="BZ15" t="s">
        <v>77</v>
      </c>
    </row>
    <row r="16" spans="1:78" x14ac:dyDescent="0.15">
      <c r="A16" s="33"/>
      <c r="B16" s="26">
        <v>42657</v>
      </c>
      <c r="C16" s="27" t="s">
        <v>377</v>
      </c>
      <c r="D16" s="68" t="s">
        <v>454</v>
      </c>
      <c r="E16" s="24"/>
      <c r="F16" s="24" t="s">
        <v>379</v>
      </c>
      <c r="G16" s="28">
        <v>42565</v>
      </c>
      <c r="H16" s="29" t="s">
        <v>174</v>
      </c>
      <c r="I16" s="29" t="s">
        <v>500</v>
      </c>
      <c r="J16" s="29"/>
      <c r="K16" s="68" t="s">
        <v>531</v>
      </c>
      <c r="L16" s="68" t="s">
        <v>634</v>
      </c>
      <c r="M16" s="81">
        <v>82.972727272727269</v>
      </c>
      <c r="N16" s="81">
        <v>25.27272727272727</v>
      </c>
      <c r="O16" s="24"/>
      <c r="P16" s="25"/>
      <c r="Q16" s="81"/>
      <c r="R16" s="25"/>
      <c r="S16" s="81"/>
      <c r="T16" s="25"/>
      <c r="U16" s="24"/>
      <c r="V16" s="81"/>
      <c r="W16" s="81"/>
      <c r="X16" s="24"/>
      <c r="Y16" s="24"/>
      <c r="Z16" s="24"/>
      <c r="AA16" s="24"/>
      <c r="AB16" s="24"/>
      <c r="AC16" s="24"/>
      <c r="AD16" s="24"/>
      <c r="AE16" s="81"/>
      <c r="AF16" s="81"/>
      <c r="AG16" s="24"/>
      <c r="AH16" s="24"/>
      <c r="AI16" s="81"/>
      <c r="AJ16" s="24"/>
      <c r="AK16" s="24"/>
      <c r="AL16" s="24"/>
      <c r="AM16" s="24"/>
      <c r="AN16" s="81"/>
      <c r="AO16" s="24"/>
      <c r="AP16" s="81"/>
      <c r="AQ16" s="24" t="s">
        <v>381</v>
      </c>
      <c r="AR16" s="29" t="s">
        <v>174</v>
      </c>
      <c r="AS16" s="29"/>
      <c r="AT16" s="29"/>
      <c r="AU16" s="29"/>
      <c r="AV16" s="29"/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/>
      <c r="BN16" s="29"/>
      <c r="BO16" s="29" t="s">
        <v>174</v>
      </c>
      <c r="BP16" s="91">
        <v>71.999999999999986</v>
      </c>
      <c r="BQ16" s="29"/>
      <c r="BR16" s="29"/>
      <c r="BS16" s="24"/>
      <c r="BT16" s="24"/>
      <c r="BU16" s="29"/>
      <c r="BV16" s="29" t="s">
        <v>174</v>
      </c>
      <c r="BW16" s="68">
        <v>1</v>
      </c>
      <c r="BX16" t="s">
        <v>592</v>
      </c>
      <c r="BY16" s="32" t="s">
        <v>635</v>
      </c>
      <c r="BZ16" t="s">
        <v>77</v>
      </c>
    </row>
    <row r="17" spans="1:78" x14ac:dyDescent="0.15">
      <c r="A17" s="33">
        <v>6122</v>
      </c>
      <c r="B17" s="26">
        <v>42657</v>
      </c>
      <c r="C17" s="27" t="s">
        <v>377</v>
      </c>
      <c r="D17" s="68" t="s">
        <v>454</v>
      </c>
      <c r="E17" s="24"/>
      <c r="F17" s="24" t="s">
        <v>379</v>
      </c>
      <c r="G17" s="28">
        <v>42614</v>
      </c>
      <c r="H17" s="29" t="s">
        <v>175</v>
      </c>
      <c r="I17" s="29" t="s">
        <v>174</v>
      </c>
      <c r="J17" s="29"/>
      <c r="K17" s="24" t="s">
        <v>594</v>
      </c>
      <c r="L17" s="24" t="s">
        <v>595</v>
      </c>
      <c r="M17" s="81">
        <v>64.554545454545448</v>
      </c>
      <c r="N17" s="81">
        <v>26.36363636363636</v>
      </c>
      <c r="O17" s="24"/>
      <c r="P17" s="25"/>
      <c r="Q17" s="81"/>
      <c r="R17" s="25"/>
      <c r="S17" s="81"/>
      <c r="T17" s="25"/>
      <c r="U17" s="24"/>
      <c r="V17" s="81"/>
      <c r="W17" s="81"/>
      <c r="X17" s="25"/>
      <c r="Y17" s="24"/>
      <c r="Z17" s="25"/>
      <c r="AA17" s="24"/>
      <c r="AB17" s="25"/>
      <c r="AC17" s="24"/>
      <c r="AD17" s="24"/>
      <c r="AE17" s="81"/>
      <c r="AF17" s="81"/>
      <c r="AG17" s="25"/>
      <c r="AH17" s="24"/>
      <c r="AI17" s="81"/>
      <c r="AJ17" s="24"/>
      <c r="AK17" s="24"/>
      <c r="AL17" s="24"/>
      <c r="AM17" s="24"/>
      <c r="AN17" s="81"/>
      <c r="AO17" s="24"/>
      <c r="AP17" s="81"/>
      <c r="AQ17" s="24" t="s">
        <v>381</v>
      </c>
      <c r="AR17" s="29" t="s">
        <v>174</v>
      </c>
      <c r="AS17" s="29"/>
      <c r="AT17" s="29"/>
      <c r="AU17" s="29" t="s">
        <v>382</v>
      </c>
      <c r="AV17" s="29">
        <v>16</v>
      </c>
      <c r="AW17" s="29"/>
      <c r="AX17" s="29"/>
      <c r="AY17" s="29"/>
      <c r="AZ17" s="29" t="s">
        <v>361</v>
      </c>
      <c r="BA17" s="24"/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29" t="s">
        <v>174</v>
      </c>
      <c r="BN17" s="29"/>
      <c r="BO17" s="29" t="s">
        <v>174</v>
      </c>
      <c r="BP17" s="91">
        <v>218.07272727272721</v>
      </c>
      <c r="BQ17" s="29"/>
      <c r="BR17" s="283">
        <v>42915</v>
      </c>
      <c r="BS17" s="30"/>
      <c r="BT17" s="30"/>
      <c r="BU17" s="29"/>
      <c r="BV17" s="29" t="s">
        <v>174</v>
      </c>
      <c r="BW17" s="24"/>
      <c r="BX17" t="s">
        <v>636</v>
      </c>
      <c r="BY17" s="67" t="s">
        <v>637</v>
      </c>
      <c r="BZ17" t="s">
        <v>77</v>
      </c>
    </row>
    <row r="18" spans="1:78" x14ac:dyDescent="0.15">
      <c r="A18" s="33"/>
      <c r="B18" s="26">
        <v>42657</v>
      </c>
      <c r="C18" s="27" t="s">
        <v>377</v>
      </c>
      <c r="D18" s="68" t="s">
        <v>454</v>
      </c>
      <c r="E18" s="24"/>
      <c r="F18" s="24" t="s">
        <v>379</v>
      </c>
      <c r="G18" s="28">
        <v>42587</v>
      </c>
      <c r="H18" s="29" t="s">
        <v>175</v>
      </c>
      <c r="I18" s="29" t="s">
        <v>174</v>
      </c>
      <c r="J18" s="29"/>
      <c r="K18" s="24" t="s">
        <v>597</v>
      </c>
      <c r="L18" s="24" t="s">
        <v>638</v>
      </c>
      <c r="M18" s="81">
        <v>85.799999999999983</v>
      </c>
      <c r="N18" s="81">
        <v>30.418181818181818</v>
      </c>
      <c r="O18" s="24"/>
      <c r="P18" s="25"/>
      <c r="Q18" s="81"/>
      <c r="R18" s="25"/>
      <c r="S18" s="81"/>
      <c r="T18" s="25"/>
      <c r="U18" s="24"/>
      <c r="V18" s="81"/>
      <c r="W18" s="81"/>
      <c r="X18" s="25"/>
      <c r="Y18" s="24"/>
      <c r="Z18" s="25"/>
      <c r="AA18" s="24"/>
      <c r="AB18" s="25"/>
      <c r="AC18" s="24"/>
      <c r="AD18" s="24"/>
      <c r="AE18" s="81"/>
      <c r="AF18" s="81"/>
      <c r="AG18" s="25"/>
      <c r="AH18" s="24"/>
      <c r="AI18" s="81"/>
      <c r="AJ18" s="24"/>
      <c r="AK18" s="24"/>
      <c r="AL18" s="24"/>
      <c r="AM18" s="24"/>
      <c r="AN18" s="81"/>
      <c r="AO18" s="24"/>
      <c r="AP18" s="81"/>
      <c r="AQ18" s="24" t="s">
        <v>381</v>
      </c>
      <c r="AR18" s="29" t="s">
        <v>174</v>
      </c>
      <c r="AS18" s="29"/>
      <c r="AT18" s="29"/>
      <c r="AU18" s="29" t="s">
        <v>382</v>
      </c>
      <c r="AV18" s="29">
        <v>4</v>
      </c>
      <c r="AW18" s="29"/>
      <c r="AX18" s="29"/>
      <c r="AY18" s="29"/>
      <c r="AZ18" s="29" t="s">
        <v>174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29" t="s">
        <v>174</v>
      </c>
      <c r="BN18" s="29">
        <v>12</v>
      </c>
      <c r="BO18" s="29" t="s">
        <v>174</v>
      </c>
      <c r="BP18" s="29"/>
      <c r="BQ18" s="29"/>
      <c r="BR18" s="29"/>
      <c r="BS18" s="24"/>
      <c r="BT18" s="24"/>
      <c r="BU18" s="29"/>
      <c r="BV18" s="29" t="s">
        <v>174</v>
      </c>
      <c r="BW18" s="24"/>
      <c r="BX18" s="66"/>
      <c r="BY18" s="269" t="s">
        <v>639</v>
      </c>
      <c r="BZ18" t="s">
        <v>77</v>
      </c>
    </row>
    <row r="19" spans="1:78" x14ac:dyDescent="0.15">
      <c r="A19" s="33"/>
      <c r="B19" s="26">
        <v>42663</v>
      </c>
      <c r="C19" s="27" t="s">
        <v>377</v>
      </c>
      <c r="D19" s="68" t="s">
        <v>454</v>
      </c>
      <c r="E19" s="24"/>
      <c r="F19" s="24" t="s">
        <v>379</v>
      </c>
      <c r="G19" s="28">
        <v>42552</v>
      </c>
      <c r="H19" s="74" t="s">
        <v>175</v>
      </c>
      <c r="I19" s="74" t="s">
        <v>174</v>
      </c>
      <c r="J19" s="29"/>
      <c r="K19" s="68" t="s">
        <v>676</v>
      </c>
      <c r="L19" s="68" t="s">
        <v>677</v>
      </c>
      <c r="M19" s="81">
        <v>75</v>
      </c>
      <c r="N19" s="81">
        <v>36.381818181818183</v>
      </c>
      <c r="O19" s="24"/>
      <c r="P19" s="25"/>
      <c r="Q19" s="81"/>
      <c r="R19" s="25"/>
      <c r="S19" s="81"/>
      <c r="T19" s="25"/>
      <c r="U19" s="24"/>
      <c r="V19" s="81"/>
      <c r="W19" s="81"/>
      <c r="X19" s="25"/>
      <c r="Y19" s="24"/>
      <c r="Z19" s="25"/>
      <c r="AA19" s="24"/>
      <c r="AB19" s="25"/>
      <c r="AC19" s="24"/>
      <c r="AD19" s="24"/>
      <c r="AE19" s="81"/>
      <c r="AF19" s="81"/>
      <c r="AG19" s="25"/>
      <c r="AH19" s="24"/>
      <c r="AI19" s="81"/>
      <c r="AJ19" s="24"/>
      <c r="AK19" s="24"/>
      <c r="AL19" s="24"/>
      <c r="AM19" s="24"/>
      <c r="AN19" s="81"/>
      <c r="AO19" s="24"/>
      <c r="AP19" s="81"/>
      <c r="AQ19" s="24" t="s">
        <v>381</v>
      </c>
      <c r="AR19" s="29" t="s">
        <v>174</v>
      </c>
      <c r="AS19" s="29"/>
      <c r="AT19" s="29"/>
      <c r="AU19" s="29" t="s">
        <v>382</v>
      </c>
      <c r="AV19" s="29">
        <v>6</v>
      </c>
      <c r="AW19" s="29"/>
      <c r="AX19" s="29"/>
      <c r="AY19" s="29"/>
      <c r="AZ19" s="74" t="s">
        <v>361</v>
      </c>
      <c r="BA19" s="24"/>
      <c r="BB19" s="29">
        <v>0</v>
      </c>
      <c r="BC19" s="29">
        <v>15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74" t="s">
        <v>174</v>
      </c>
      <c r="BN19" s="29"/>
      <c r="BO19" s="74" t="s">
        <v>174</v>
      </c>
      <c r="BP19" s="29"/>
      <c r="BQ19" s="29"/>
      <c r="BR19" s="29"/>
      <c r="BS19" s="24"/>
      <c r="BT19" s="24"/>
      <c r="BU19" s="29"/>
      <c r="BV19" s="74" t="s">
        <v>174</v>
      </c>
      <c r="BW19" s="24"/>
      <c r="BX19" s="266" t="s">
        <v>679</v>
      </c>
      <c r="BY19" s="269" t="s">
        <v>678</v>
      </c>
      <c r="BZ19" s="66" t="s">
        <v>452</v>
      </c>
    </row>
    <row r="20" spans="1:78" x14ac:dyDescent="0.15">
      <c r="A20" s="33"/>
      <c r="B20" s="26">
        <v>42663</v>
      </c>
      <c r="C20" s="27" t="s">
        <v>377</v>
      </c>
      <c r="D20" s="68" t="s">
        <v>454</v>
      </c>
      <c r="E20" s="24"/>
      <c r="F20" s="24" t="s">
        <v>379</v>
      </c>
      <c r="G20" s="28">
        <v>42582</v>
      </c>
      <c r="H20" s="74" t="s">
        <v>175</v>
      </c>
      <c r="I20" s="74" t="s">
        <v>174</v>
      </c>
      <c r="J20" s="74"/>
      <c r="K20" s="68" t="s">
        <v>682</v>
      </c>
      <c r="L20" s="68" t="s">
        <v>683</v>
      </c>
      <c r="M20" s="81">
        <v>85.899999999999991</v>
      </c>
      <c r="N20" s="81">
        <v>27</v>
      </c>
      <c r="O20" s="24"/>
      <c r="P20" s="25"/>
      <c r="Q20" s="81"/>
      <c r="R20" s="25"/>
      <c r="S20" s="81"/>
      <c r="T20" s="25"/>
      <c r="U20" s="24"/>
      <c r="V20" s="81"/>
      <c r="W20" s="81"/>
      <c r="X20" s="25"/>
      <c r="Y20" s="24"/>
      <c r="Z20" s="25"/>
      <c r="AA20" s="24"/>
      <c r="AB20" s="25"/>
      <c r="AC20" s="24"/>
      <c r="AD20" s="24"/>
      <c r="AE20" s="81"/>
      <c r="AF20" s="81"/>
      <c r="AG20" s="25"/>
      <c r="AH20" s="24"/>
      <c r="AI20" s="81"/>
      <c r="AJ20" s="24"/>
      <c r="AK20" s="24"/>
      <c r="AL20" s="24"/>
      <c r="AM20" s="24"/>
      <c r="AN20" s="81"/>
      <c r="AO20" s="24"/>
      <c r="AP20" s="81"/>
      <c r="AQ20" s="24" t="s">
        <v>381</v>
      </c>
      <c r="AR20" s="29" t="s">
        <v>174</v>
      </c>
      <c r="AS20" s="29"/>
      <c r="AT20" s="29"/>
      <c r="AU20" s="29" t="s">
        <v>382</v>
      </c>
      <c r="AV20" s="29">
        <v>10</v>
      </c>
      <c r="AW20" s="29"/>
      <c r="AX20" s="29"/>
      <c r="AY20" s="29"/>
      <c r="AZ20" s="74" t="s">
        <v>174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74" t="s">
        <v>174</v>
      </c>
      <c r="BN20" s="29"/>
      <c r="BO20" s="74" t="s">
        <v>174</v>
      </c>
      <c r="BP20" s="29"/>
      <c r="BQ20" s="29"/>
      <c r="BR20" s="29"/>
      <c r="BS20" s="24"/>
      <c r="BT20" s="24"/>
      <c r="BU20" s="29"/>
      <c r="BV20" s="74" t="s">
        <v>174</v>
      </c>
      <c r="BW20" s="24"/>
      <c r="BX20" s="308"/>
      <c r="BY20" s="269" t="s">
        <v>684</v>
      </c>
      <c r="BZ20" s="66" t="s">
        <v>452</v>
      </c>
    </row>
    <row r="21" spans="1:78" x14ac:dyDescent="0.15">
      <c r="A21" s="33"/>
      <c r="B21" s="26">
        <v>42663</v>
      </c>
      <c r="C21" s="27" t="s">
        <v>377</v>
      </c>
      <c r="D21" s="68" t="s">
        <v>454</v>
      </c>
      <c r="E21" s="24"/>
      <c r="F21" s="24" t="s">
        <v>379</v>
      </c>
      <c r="G21" s="28">
        <v>42553</v>
      </c>
      <c r="H21" s="74" t="s">
        <v>175</v>
      </c>
      <c r="I21" s="74" t="s">
        <v>174</v>
      </c>
      <c r="J21" s="74"/>
      <c r="K21" s="68" t="s">
        <v>686</v>
      </c>
      <c r="L21" s="68" t="s">
        <v>687</v>
      </c>
      <c r="M21" s="81">
        <v>106.6090909090909</v>
      </c>
      <c r="N21" s="81">
        <v>35.799999999999997</v>
      </c>
      <c r="O21" s="24"/>
      <c r="P21" s="25"/>
      <c r="Q21" s="81"/>
      <c r="R21" s="25"/>
      <c r="S21" s="81"/>
      <c r="T21" s="25"/>
      <c r="U21" s="24"/>
      <c r="V21" s="81"/>
      <c r="W21" s="81"/>
      <c r="X21" s="25"/>
      <c r="Y21" s="24"/>
      <c r="Z21" s="25"/>
      <c r="AA21" s="24"/>
      <c r="AB21" s="25"/>
      <c r="AC21" s="24"/>
      <c r="AD21" s="24"/>
      <c r="AE21" s="81"/>
      <c r="AF21" s="81"/>
      <c r="AG21" s="25"/>
      <c r="AH21" s="24"/>
      <c r="AI21" s="81"/>
      <c r="AJ21" s="24"/>
      <c r="AK21" s="24"/>
      <c r="AL21" s="24"/>
      <c r="AM21" s="24"/>
      <c r="AN21" s="81"/>
      <c r="AO21" s="24"/>
      <c r="AP21" s="81"/>
      <c r="AQ21" s="24" t="s">
        <v>381</v>
      </c>
      <c r="AR21" s="29" t="s">
        <v>174</v>
      </c>
      <c r="AS21" s="29"/>
      <c r="AT21" s="29"/>
      <c r="AU21" s="29" t="s">
        <v>382</v>
      </c>
      <c r="AV21" s="29">
        <v>8</v>
      </c>
      <c r="AW21" s="29"/>
      <c r="AX21" s="29"/>
      <c r="AY21" s="29"/>
      <c r="AZ21" s="74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74" t="s">
        <v>174</v>
      </c>
      <c r="BN21" s="29"/>
      <c r="BO21" s="74" t="s">
        <v>174</v>
      </c>
      <c r="BP21" s="29"/>
      <c r="BQ21" s="29"/>
      <c r="BR21" s="29"/>
      <c r="BS21" s="24"/>
      <c r="BT21" s="24"/>
      <c r="BU21" s="29"/>
      <c r="BV21" s="74" t="s">
        <v>174</v>
      </c>
      <c r="BW21" s="24"/>
      <c r="BX21" s="266" t="s">
        <v>690</v>
      </c>
      <c r="BY21" s="269" t="s">
        <v>688</v>
      </c>
      <c r="BZ21" s="66" t="s">
        <v>452</v>
      </c>
    </row>
    <row r="22" spans="1:78" x14ac:dyDescent="0.15">
      <c r="A22" s="33"/>
      <c r="B22" s="26">
        <v>42663</v>
      </c>
      <c r="C22" s="27" t="s">
        <v>377</v>
      </c>
      <c r="D22" s="68" t="s">
        <v>454</v>
      </c>
      <c r="E22" s="24"/>
      <c r="F22" s="24" t="s">
        <v>379</v>
      </c>
      <c r="G22" s="28">
        <v>42657</v>
      </c>
      <c r="H22" s="74" t="s">
        <v>175</v>
      </c>
      <c r="I22" s="74" t="s">
        <v>174</v>
      </c>
      <c r="J22" s="74"/>
      <c r="K22" s="68" t="s">
        <v>691</v>
      </c>
      <c r="L22" s="68" t="s">
        <v>692</v>
      </c>
      <c r="M22" s="81">
        <v>93</v>
      </c>
      <c r="N22" s="81">
        <v>26.799999999999997</v>
      </c>
      <c r="O22" s="24"/>
      <c r="P22" s="25"/>
      <c r="Q22" s="81"/>
      <c r="R22" s="25"/>
      <c r="S22" s="81"/>
      <c r="T22" s="25"/>
      <c r="U22" s="24"/>
      <c r="V22" s="81"/>
      <c r="W22" s="81"/>
      <c r="X22" s="25"/>
      <c r="Y22" s="24"/>
      <c r="Z22" s="25"/>
      <c r="AA22" s="24"/>
      <c r="AB22" s="25"/>
      <c r="AC22" s="24"/>
      <c r="AD22" s="24"/>
      <c r="AE22" s="81"/>
      <c r="AF22" s="81"/>
      <c r="AG22" s="25"/>
      <c r="AH22" s="24"/>
      <c r="AI22" s="81"/>
      <c r="AJ22" s="24"/>
      <c r="AK22" s="24"/>
      <c r="AL22" s="24"/>
      <c r="AM22" s="24"/>
      <c r="AN22" s="81"/>
      <c r="AO22" s="24"/>
      <c r="AP22" s="81"/>
      <c r="AQ22" s="24" t="s">
        <v>381</v>
      </c>
      <c r="AR22" s="29" t="s">
        <v>174</v>
      </c>
      <c r="AS22" s="29"/>
      <c r="AT22" s="29"/>
      <c r="AU22" s="29" t="s">
        <v>382</v>
      </c>
      <c r="AV22" s="29">
        <v>5</v>
      </c>
      <c r="AW22" s="29"/>
      <c r="AX22" s="29"/>
      <c r="AY22" s="29"/>
      <c r="AZ22" s="74" t="s">
        <v>361</v>
      </c>
      <c r="BA22" s="24"/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74" t="s">
        <v>174</v>
      </c>
      <c r="BN22" s="29"/>
      <c r="BO22" s="74" t="s">
        <v>174</v>
      </c>
      <c r="BP22" s="29"/>
      <c r="BQ22" s="29"/>
      <c r="BR22" s="29"/>
      <c r="BS22" s="24"/>
      <c r="BT22" s="24"/>
      <c r="BU22" s="29"/>
      <c r="BV22" s="74" t="s">
        <v>174</v>
      </c>
      <c r="BW22" s="24">
        <v>1</v>
      </c>
      <c r="BX22" s="308"/>
      <c r="BY22" s="269" t="s">
        <v>693</v>
      </c>
      <c r="BZ22" s="66" t="s">
        <v>452</v>
      </c>
    </row>
    <row r="23" spans="1:78" x14ac:dyDescent="0.15">
      <c r="A23" s="33">
        <v>4249</v>
      </c>
      <c r="B23" s="26">
        <v>42656</v>
      </c>
      <c r="C23" s="27" t="s">
        <v>377</v>
      </c>
      <c r="D23" s="68" t="s">
        <v>454</v>
      </c>
      <c r="E23" s="24"/>
      <c r="F23" s="24" t="s">
        <v>403</v>
      </c>
      <c r="G23" s="28">
        <v>42551</v>
      </c>
      <c r="H23" s="29" t="s">
        <v>175</v>
      </c>
      <c r="I23" s="29" t="s">
        <v>174</v>
      </c>
      <c r="J23" s="29"/>
      <c r="K23" s="24" t="s">
        <v>296</v>
      </c>
      <c r="L23" s="24" t="s">
        <v>510</v>
      </c>
      <c r="M23" s="81">
        <v>75.654545454545442</v>
      </c>
      <c r="N23" s="81">
        <v>30.7</v>
      </c>
      <c r="O23" s="24" t="s">
        <v>518</v>
      </c>
      <c r="P23" s="25">
        <v>5000</v>
      </c>
      <c r="Q23" s="81">
        <v>30.7</v>
      </c>
      <c r="R23" s="25"/>
      <c r="S23" s="81"/>
      <c r="T23" s="25"/>
      <c r="U23" s="24"/>
      <c r="V23" s="81"/>
      <c r="W23" s="81"/>
      <c r="X23" s="24"/>
      <c r="Y23" s="24"/>
      <c r="Z23" s="24"/>
      <c r="AA23" s="24"/>
      <c r="AB23" s="25"/>
      <c r="AC23" s="24"/>
      <c r="AD23" s="24"/>
      <c r="AE23" s="81"/>
      <c r="AF23" s="81">
        <v>14.436363636363636</v>
      </c>
      <c r="AG23" s="25"/>
      <c r="AH23" s="24"/>
      <c r="AI23" s="81"/>
      <c r="AJ23" s="24"/>
      <c r="AK23" s="24"/>
      <c r="AL23" s="24"/>
      <c r="AM23" s="24"/>
      <c r="AN23" s="81"/>
      <c r="AO23" s="24"/>
      <c r="AP23" s="81"/>
      <c r="AQ23" s="24" t="s">
        <v>404</v>
      </c>
      <c r="AR23" s="29" t="s">
        <v>174</v>
      </c>
      <c r="AS23" s="29"/>
      <c r="AT23" s="29"/>
      <c r="AU23" s="29" t="s">
        <v>382</v>
      </c>
      <c r="AV23" s="29">
        <v>12.4</v>
      </c>
      <c r="AW23" s="29"/>
      <c r="AX23" s="29"/>
      <c r="AY23" s="29"/>
      <c r="AZ23" s="29" t="s">
        <v>361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>
        <v>12</v>
      </c>
      <c r="BO23" s="29" t="s">
        <v>174</v>
      </c>
      <c r="BP23" s="29"/>
      <c r="BQ23" s="29">
        <v>12</v>
      </c>
      <c r="BR23" s="29"/>
      <c r="BS23" s="30"/>
      <c r="BT23" s="30"/>
      <c r="BU23" s="29"/>
      <c r="BV23" s="29" t="s">
        <v>174</v>
      </c>
      <c r="BW23" s="24"/>
      <c r="BX23" s="66"/>
      <c r="BY23" s="67" t="s">
        <v>640</v>
      </c>
      <c r="BZ23" t="s">
        <v>77</v>
      </c>
    </row>
    <row r="24" spans="1:78" x14ac:dyDescent="0.15">
      <c r="A24" s="33">
        <v>5548</v>
      </c>
      <c r="B24" s="26">
        <v>42656</v>
      </c>
      <c r="C24" s="27" t="s">
        <v>377</v>
      </c>
      <c r="D24" s="68" t="s">
        <v>454</v>
      </c>
      <c r="E24" s="24"/>
      <c r="F24" s="24" t="s">
        <v>403</v>
      </c>
      <c r="G24" s="31">
        <v>42647</v>
      </c>
      <c r="H24" s="29" t="s">
        <v>175</v>
      </c>
      <c r="I24" s="29" t="s">
        <v>174</v>
      </c>
      <c r="J24" s="29"/>
      <c r="K24" s="24" t="s">
        <v>297</v>
      </c>
      <c r="L24" s="24" t="s">
        <v>511</v>
      </c>
      <c r="M24" s="81">
        <v>90.5</v>
      </c>
      <c r="N24" s="81">
        <v>33.972727272727269</v>
      </c>
      <c r="O24" s="24" t="s">
        <v>518</v>
      </c>
      <c r="P24" s="25">
        <v>2500</v>
      </c>
      <c r="Q24" s="81">
        <v>33.972727272727269</v>
      </c>
      <c r="R24" s="25"/>
      <c r="S24" s="81"/>
      <c r="T24" s="25"/>
      <c r="U24" s="24"/>
      <c r="V24" s="81"/>
      <c r="W24" s="81"/>
      <c r="X24" s="24"/>
      <c r="Y24" s="24"/>
      <c r="Z24" s="24"/>
      <c r="AA24" s="24"/>
      <c r="AB24" s="24"/>
      <c r="AC24" s="24"/>
      <c r="AD24" s="24"/>
      <c r="AE24" s="81"/>
      <c r="AF24" s="81">
        <v>15.509090909090906</v>
      </c>
      <c r="AG24" s="25"/>
      <c r="AH24" s="24"/>
      <c r="AI24" s="81"/>
      <c r="AJ24" s="24"/>
      <c r="AK24" s="24"/>
      <c r="AL24" s="24"/>
      <c r="AM24" s="24"/>
      <c r="AN24" s="81"/>
      <c r="AO24" s="24"/>
      <c r="AP24" s="81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9.5</v>
      </c>
      <c r="AW24" s="29"/>
      <c r="AX24" s="29"/>
      <c r="AY24" s="29"/>
      <c r="AZ24" s="29" t="s">
        <v>174</v>
      </c>
      <c r="BA24" s="24"/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29"/>
      <c r="BQ24" s="29"/>
      <c r="BR24" s="29"/>
      <c r="BS24" s="24"/>
      <c r="BT24" s="24"/>
      <c r="BU24" s="29"/>
      <c r="BV24" s="29" t="s">
        <v>174</v>
      </c>
      <c r="BW24" s="68">
        <v>1</v>
      </c>
      <c r="BX24" s="66"/>
      <c r="BY24" s="67" t="s">
        <v>641</v>
      </c>
      <c r="BZ24" t="s">
        <v>39</v>
      </c>
    </row>
    <row r="25" spans="1:78" x14ac:dyDescent="0.15">
      <c r="A25" s="33"/>
      <c r="B25" s="26">
        <v>42656</v>
      </c>
      <c r="C25" s="27" t="s">
        <v>377</v>
      </c>
      <c r="D25" s="68" t="s">
        <v>454</v>
      </c>
      <c r="E25" s="24"/>
      <c r="F25" s="24" t="s">
        <v>403</v>
      </c>
      <c r="G25" s="28">
        <v>42551</v>
      </c>
      <c r="H25" s="29" t="s">
        <v>175</v>
      </c>
      <c r="I25" s="29" t="s">
        <v>174</v>
      </c>
      <c r="J25" s="29"/>
      <c r="K25" s="24" t="s">
        <v>298</v>
      </c>
      <c r="L25" s="68" t="s">
        <v>624</v>
      </c>
      <c r="M25" s="81">
        <v>79.518181818181816</v>
      </c>
      <c r="N25" s="81">
        <v>29.881818181818176</v>
      </c>
      <c r="O25" s="24"/>
      <c r="P25" s="24"/>
      <c r="Q25" s="81"/>
      <c r="R25" s="24"/>
      <c r="S25" s="81"/>
      <c r="T25" s="24"/>
      <c r="U25" s="24"/>
      <c r="V25" s="81"/>
      <c r="W25" s="81"/>
      <c r="X25" s="24"/>
      <c r="Y25" s="24"/>
      <c r="Z25" s="24"/>
      <c r="AA25" s="24"/>
      <c r="AB25" s="24"/>
      <c r="AC25" s="24"/>
      <c r="AD25" s="24"/>
      <c r="AE25" s="81"/>
      <c r="AF25" s="81">
        <v>14.209090909090909</v>
      </c>
      <c r="AG25" s="24"/>
      <c r="AH25" s="24"/>
      <c r="AI25" s="81"/>
      <c r="AJ25" s="24"/>
      <c r="AK25" s="24"/>
      <c r="AL25" s="24"/>
      <c r="AM25" s="24"/>
      <c r="AN25" s="81"/>
      <c r="AO25" s="24"/>
      <c r="AP25" s="81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14</v>
      </c>
      <c r="AW25" s="29"/>
      <c r="AX25" s="29"/>
      <c r="AY25" s="29"/>
      <c r="AZ25" s="29" t="s">
        <v>174</v>
      </c>
      <c r="BA25" s="24"/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/>
      <c r="BO25" s="29" t="s">
        <v>174</v>
      </c>
      <c r="BP25" s="29"/>
      <c r="BQ25" s="29"/>
      <c r="BR25" s="29"/>
      <c r="BS25" s="30"/>
      <c r="BT25" s="30"/>
      <c r="BU25" s="29"/>
      <c r="BV25" s="29" t="s">
        <v>174</v>
      </c>
      <c r="BW25" s="24">
        <v>1</v>
      </c>
      <c r="BX25" s="66"/>
      <c r="BY25" s="32" t="s">
        <v>642</v>
      </c>
      <c r="BZ25" t="s">
        <v>77</v>
      </c>
    </row>
    <row r="26" spans="1:78" x14ac:dyDescent="0.15">
      <c r="A26" s="33">
        <v>241</v>
      </c>
      <c r="B26" s="26">
        <v>42656</v>
      </c>
      <c r="C26" s="27" t="s">
        <v>377</v>
      </c>
      <c r="D26" s="68" t="s">
        <v>454</v>
      </c>
      <c r="E26" s="24"/>
      <c r="F26" s="24" t="s">
        <v>403</v>
      </c>
      <c r="G26" s="28">
        <v>42551</v>
      </c>
      <c r="H26" s="29" t="s">
        <v>175</v>
      </c>
      <c r="I26" s="29" t="s">
        <v>174</v>
      </c>
      <c r="J26" s="29"/>
      <c r="K26" s="24" t="s">
        <v>299</v>
      </c>
      <c r="L26" s="24" t="s">
        <v>446</v>
      </c>
      <c r="M26" s="81">
        <v>95.663636363636357</v>
      </c>
      <c r="N26" s="81">
        <v>33.754545454545458</v>
      </c>
      <c r="O26" s="24"/>
      <c r="P26" s="25"/>
      <c r="Q26" s="81"/>
      <c r="R26" s="25"/>
      <c r="S26" s="81"/>
      <c r="T26" s="24"/>
      <c r="U26" s="24"/>
      <c r="V26" s="81"/>
      <c r="W26" s="81"/>
      <c r="X26" s="24"/>
      <c r="Y26" s="24"/>
      <c r="Z26" s="24"/>
      <c r="AA26" s="24"/>
      <c r="AB26" s="24"/>
      <c r="AC26" s="24"/>
      <c r="AD26" s="24"/>
      <c r="AE26" s="81"/>
      <c r="AF26" s="81">
        <v>20.563636363636363</v>
      </c>
      <c r="AG26" s="25"/>
      <c r="AH26" s="24"/>
      <c r="AI26" s="81"/>
      <c r="AJ26" s="24"/>
      <c r="AK26" s="24"/>
      <c r="AL26" s="24"/>
      <c r="AM26" s="24"/>
      <c r="AN26" s="81"/>
      <c r="AO26" s="24"/>
      <c r="AP26" s="81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11.6</v>
      </c>
      <c r="AW26" s="29"/>
      <c r="AX26" s="29"/>
      <c r="AY26" s="29"/>
      <c r="AZ26" s="29" t="s">
        <v>174</v>
      </c>
      <c r="BA26" s="24"/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/>
      <c r="BO26" s="29" t="s">
        <v>174</v>
      </c>
      <c r="BP26" s="29"/>
      <c r="BQ26" s="29"/>
      <c r="BR26" s="29"/>
      <c r="BS26" s="30"/>
      <c r="BT26" s="24"/>
      <c r="BU26" s="29"/>
      <c r="BV26" s="29" t="s">
        <v>174</v>
      </c>
      <c r="BW26" s="24"/>
      <c r="BY26" s="32" t="s">
        <v>643</v>
      </c>
      <c r="BZ26" t="s">
        <v>77</v>
      </c>
    </row>
    <row r="27" spans="1:78" x14ac:dyDescent="0.15">
      <c r="A27" s="33">
        <v>5769</v>
      </c>
      <c r="B27" s="26">
        <v>42657</v>
      </c>
      <c r="C27" s="27" t="s">
        <v>377</v>
      </c>
      <c r="D27" s="68" t="s">
        <v>454</v>
      </c>
      <c r="E27" s="24"/>
      <c r="F27" s="24" t="s">
        <v>403</v>
      </c>
      <c r="G27" s="28">
        <v>42643</v>
      </c>
      <c r="H27" s="29" t="s">
        <v>175</v>
      </c>
      <c r="I27" s="29" t="s">
        <v>174</v>
      </c>
      <c r="J27" s="29"/>
      <c r="K27" s="24" t="s">
        <v>300</v>
      </c>
      <c r="L27" s="24" t="s">
        <v>517</v>
      </c>
      <c r="M27" s="81">
        <v>99.5</v>
      </c>
      <c r="N27" s="81">
        <v>37.554545454545455</v>
      </c>
      <c r="O27" s="24" t="s">
        <v>518</v>
      </c>
      <c r="P27" s="25">
        <v>1000</v>
      </c>
      <c r="Q27" s="81">
        <v>39.954545454545453</v>
      </c>
      <c r="R27" s="25"/>
      <c r="S27" s="81"/>
      <c r="T27" s="25"/>
      <c r="U27" s="24"/>
      <c r="V27" s="81"/>
      <c r="W27" s="81"/>
      <c r="X27" s="24"/>
      <c r="Y27" s="24"/>
      <c r="Z27" s="24"/>
      <c r="AA27" s="24"/>
      <c r="AB27" s="24"/>
      <c r="AC27" s="24"/>
      <c r="AD27" s="24"/>
      <c r="AE27" s="81"/>
      <c r="AF27" s="81">
        <v>19.954545454545453</v>
      </c>
      <c r="AG27" s="25"/>
      <c r="AH27" s="24"/>
      <c r="AI27" s="81"/>
      <c r="AJ27" s="24"/>
      <c r="AK27" s="24"/>
      <c r="AL27" s="24"/>
      <c r="AM27" s="24"/>
      <c r="AN27" s="81"/>
      <c r="AO27" s="24"/>
      <c r="AP27" s="81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10.199999999999999</v>
      </c>
      <c r="AW27" s="29"/>
      <c r="AX27" s="29"/>
      <c r="AY27" s="29"/>
      <c r="AZ27" s="29" t="s">
        <v>361</v>
      </c>
      <c r="BA27" s="24"/>
      <c r="BB27" s="29">
        <v>0</v>
      </c>
      <c r="BC27" s="29">
        <v>0</v>
      </c>
      <c r="BD27" s="29">
        <v>7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29"/>
      <c r="BQ27" s="29"/>
      <c r="BR27" s="29"/>
      <c r="BS27" s="24"/>
      <c r="BT27" s="24"/>
      <c r="BU27" s="29"/>
      <c r="BV27" s="29" t="s">
        <v>174</v>
      </c>
      <c r="BW27" s="24"/>
      <c r="BY27" s="32" t="s">
        <v>644</v>
      </c>
      <c r="BZ27" t="s">
        <v>39</v>
      </c>
    </row>
    <row r="28" spans="1:78" x14ac:dyDescent="0.15">
      <c r="A28" s="33">
        <v>5267</v>
      </c>
      <c r="B28" s="26">
        <v>42657</v>
      </c>
      <c r="C28" s="27" t="s">
        <v>377</v>
      </c>
      <c r="D28" s="68" t="s">
        <v>454</v>
      </c>
      <c r="E28" s="24"/>
      <c r="F28" s="24" t="s">
        <v>403</v>
      </c>
      <c r="G28" s="28">
        <v>42582</v>
      </c>
      <c r="H28" s="29" t="s">
        <v>175</v>
      </c>
      <c r="I28" s="29" t="s">
        <v>174</v>
      </c>
      <c r="J28" s="29"/>
      <c r="K28" s="24" t="s">
        <v>301</v>
      </c>
      <c r="L28" s="24" t="s">
        <v>520</v>
      </c>
      <c r="M28" s="81">
        <v>97.999999999999986</v>
      </c>
      <c r="N28" s="81">
        <v>35.963636363636361</v>
      </c>
      <c r="O28" s="24"/>
      <c r="P28" s="25"/>
      <c r="Q28" s="81"/>
      <c r="R28" s="25"/>
      <c r="S28" s="81"/>
      <c r="T28" s="25"/>
      <c r="U28" s="24"/>
      <c r="V28" s="81"/>
      <c r="W28" s="81"/>
      <c r="X28" s="25"/>
      <c r="Y28" s="24"/>
      <c r="Z28" s="25"/>
      <c r="AA28" s="24"/>
      <c r="AB28" s="25"/>
      <c r="AC28" s="24"/>
      <c r="AD28" s="24"/>
      <c r="AE28" s="81"/>
      <c r="AF28" s="81">
        <v>16.972727272727273</v>
      </c>
      <c r="AG28" s="25"/>
      <c r="AH28" s="24"/>
      <c r="AI28" s="81"/>
      <c r="AJ28" s="24"/>
      <c r="AK28" s="24"/>
      <c r="AL28" s="24"/>
      <c r="AM28" s="24"/>
      <c r="AN28" s="81"/>
      <c r="AO28" s="24"/>
      <c r="AP28" s="81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12.65</v>
      </c>
      <c r="AW28" s="29"/>
      <c r="AX28" s="29"/>
      <c r="AY28" s="29"/>
      <c r="AZ28" s="29" t="s">
        <v>361</v>
      </c>
      <c r="BA28" s="24"/>
      <c r="BB28" s="29">
        <v>3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174</v>
      </c>
      <c r="BN28" s="29">
        <v>12</v>
      </c>
      <c r="BO28" s="29" t="s">
        <v>174</v>
      </c>
      <c r="BP28" s="29"/>
      <c r="BQ28" s="29"/>
      <c r="BR28" s="29"/>
      <c r="BS28" s="24"/>
      <c r="BT28" s="24"/>
      <c r="BU28" s="29"/>
      <c r="BV28" s="29" t="s">
        <v>174</v>
      </c>
      <c r="BW28" s="24"/>
      <c r="BX28" s="66"/>
      <c r="BY28" s="67" t="s">
        <v>645</v>
      </c>
      <c r="BZ28" t="s">
        <v>39</v>
      </c>
    </row>
    <row r="29" spans="1:78" x14ac:dyDescent="0.15">
      <c r="A29" s="33">
        <v>4784</v>
      </c>
      <c r="B29" s="26">
        <v>42657</v>
      </c>
      <c r="C29" s="27" t="s">
        <v>377</v>
      </c>
      <c r="D29" s="68" t="s">
        <v>454</v>
      </c>
      <c r="E29" s="24"/>
      <c r="F29" s="24" t="s">
        <v>403</v>
      </c>
      <c r="G29" s="28">
        <v>42606</v>
      </c>
      <c r="H29" s="29" t="s">
        <v>175</v>
      </c>
      <c r="I29" s="29" t="s">
        <v>174</v>
      </c>
      <c r="J29" s="29"/>
      <c r="K29" s="24" t="s">
        <v>302</v>
      </c>
      <c r="L29" s="24" t="s">
        <v>521</v>
      </c>
      <c r="M29" s="81">
        <v>86.018181818181816</v>
      </c>
      <c r="N29" s="81">
        <v>33.890909090909091</v>
      </c>
      <c r="O29" s="24"/>
      <c r="P29" s="25"/>
      <c r="Q29" s="81"/>
      <c r="R29" s="25"/>
      <c r="S29" s="81"/>
      <c r="T29" s="25"/>
      <c r="U29" s="24"/>
      <c r="V29" s="81"/>
      <c r="W29" s="81"/>
      <c r="X29" s="25"/>
      <c r="Y29" s="24"/>
      <c r="Z29" s="25"/>
      <c r="AA29" s="24"/>
      <c r="AB29" s="25"/>
      <c r="AC29" s="24"/>
      <c r="AD29" s="24"/>
      <c r="AE29" s="81"/>
      <c r="AF29" s="81">
        <v>18.799999999999997</v>
      </c>
      <c r="AG29" s="25"/>
      <c r="AH29" s="24"/>
      <c r="AI29" s="81"/>
      <c r="AJ29" s="24"/>
      <c r="AK29" s="24"/>
      <c r="AL29" s="24"/>
      <c r="AM29" s="24"/>
      <c r="AN29" s="81"/>
      <c r="AO29" s="24"/>
      <c r="AP29" s="81"/>
      <c r="AQ29" s="24" t="s">
        <v>404</v>
      </c>
      <c r="AR29" s="29" t="s">
        <v>174</v>
      </c>
      <c r="AS29" s="29"/>
      <c r="AT29" s="29"/>
      <c r="AU29" s="29" t="s">
        <v>382</v>
      </c>
      <c r="AV29" s="29">
        <v>12</v>
      </c>
      <c r="AW29" s="29"/>
      <c r="AX29" s="29"/>
      <c r="AY29" s="29"/>
      <c r="AZ29" s="29" t="s">
        <v>361</v>
      </c>
      <c r="BA29" s="24"/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/>
      <c r="BO29" s="29" t="s">
        <v>174</v>
      </c>
      <c r="BP29" s="29"/>
      <c r="BQ29" s="29"/>
      <c r="BR29" s="29"/>
      <c r="BS29" s="24"/>
      <c r="BT29" s="24"/>
      <c r="BU29" s="29"/>
      <c r="BV29" s="29" t="s">
        <v>174</v>
      </c>
      <c r="BW29" s="24"/>
      <c r="BX29" s="66"/>
      <c r="BY29" s="67" t="s">
        <v>619</v>
      </c>
      <c r="BZ29" t="s">
        <v>77</v>
      </c>
    </row>
    <row r="30" spans="1:78" x14ac:dyDescent="0.15">
      <c r="A30" s="33">
        <v>929</v>
      </c>
      <c r="B30" s="26">
        <v>42657</v>
      </c>
      <c r="C30" s="27" t="s">
        <v>377</v>
      </c>
      <c r="D30" s="68" t="s">
        <v>454</v>
      </c>
      <c r="E30" s="24"/>
      <c r="F30" s="24" t="s">
        <v>403</v>
      </c>
      <c r="G30" s="26">
        <v>42634</v>
      </c>
      <c r="H30" s="29" t="s">
        <v>175</v>
      </c>
      <c r="I30" s="29" t="s">
        <v>174</v>
      </c>
      <c r="J30" s="29"/>
      <c r="K30" s="24" t="s">
        <v>303</v>
      </c>
      <c r="L30" s="24" t="s">
        <v>522</v>
      </c>
      <c r="M30" s="81">
        <v>97.881818181818176</v>
      </c>
      <c r="N30" s="81">
        <v>36.236363636363635</v>
      </c>
      <c r="O30" s="24"/>
      <c r="P30" s="25"/>
      <c r="Q30" s="81"/>
      <c r="R30" s="25"/>
      <c r="S30" s="81"/>
      <c r="T30" s="24"/>
      <c r="U30" s="24"/>
      <c r="V30" s="81"/>
      <c r="W30" s="81"/>
      <c r="X30" s="24"/>
      <c r="Y30" s="24"/>
      <c r="Z30" s="24"/>
      <c r="AA30" s="24"/>
      <c r="AB30" s="24"/>
      <c r="AC30" s="24"/>
      <c r="AD30" s="24"/>
      <c r="AE30" s="81"/>
      <c r="AF30" s="81">
        <v>21.309090909090909</v>
      </c>
      <c r="AG30" s="25"/>
      <c r="AH30" s="24"/>
      <c r="AI30" s="81"/>
      <c r="AJ30" s="24"/>
      <c r="AK30" s="24"/>
      <c r="AL30" s="24"/>
      <c r="AM30" s="24"/>
      <c r="AN30" s="81"/>
      <c r="AO30" s="24"/>
      <c r="AP30" s="81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6.8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/>
      <c r="BO30" s="29" t="s">
        <v>174</v>
      </c>
      <c r="BP30" s="29"/>
      <c r="BQ30" s="29"/>
      <c r="BR30" s="29"/>
      <c r="BS30" s="24"/>
      <c r="BT30" s="24"/>
      <c r="BU30" s="29"/>
      <c r="BV30" s="29" t="s">
        <v>174</v>
      </c>
      <c r="BW30" s="24"/>
      <c r="BX30" s="66"/>
      <c r="BY30" s="67" t="s">
        <v>646</v>
      </c>
      <c r="BZ30" t="s">
        <v>77</v>
      </c>
    </row>
    <row r="31" spans="1:78" x14ac:dyDescent="0.15">
      <c r="A31" s="33">
        <v>5407</v>
      </c>
      <c r="B31" s="26">
        <v>42657</v>
      </c>
      <c r="C31" s="27" t="s">
        <v>377</v>
      </c>
      <c r="D31" s="68" t="s">
        <v>454</v>
      </c>
      <c r="E31" s="24"/>
      <c r="F31" s="24" t="s">
        <v>403</v>
      </c>
      <c r="G31" s="28">
        <v>42551</v>
      </c>
      <c r="H31" s="29" t="s">
        <v>175</v>
      </c>
      <c r="I31" s="29" t="s">
        <v>174</v>
      </c>
      <c r="J31" s="29"/>
      <c r="K31" s="24" t="s">
        <v>304</v>
      </c>
      <c r="L31" s="24" t="s">
        <v>523</v>
      </c>
      <c r="M31" s="81">
        <v>82.054545454545448</v>
      </c>
      <c r="N31" s="81">
        <v>36.25454545454545</v>
      </c>
      <c r="O31" s="24"/>
      <c r="P31" s="24"/>
      <c r="Q31" s="81"/>
      <c r="R31" s="25"/>
      <c r="S31" s="81"/>
      <c r="T31" s="25"/>
      <c r="U31" s="24"/>
      <c r="V31" s="81"/>
      <c r="W31" s="81"/>
      <c r="X31" s="24"/>
      <c r="Y31" s="24"/>
      <c r="Z31" s="25"/>
      <c r="AA31" s="24"/>
      <c r="AB31" s="25"/>
      <c r="AC31" s="24"/>
      <c r="AD31" s="24"/>
      <c r="AE31" s="81"/>
      <c r="AF31" s="81">
        <v>16.718181818181819</v>
      </c>
      <c r="AG31" s="25"/>
      <c r="AH31" s="24"/>
      <c r="AI31" s="81"/>
      <c r="AJ31" s="24"/>
      <c r="AK31" s="24"/>
      <c r="AL31" s="24"/>
      <c r="AM31" s="24"/>
      <c r="AN31" s="81"/>
      <c r="AO31" s="24"/>
      <c r="AP31" s="81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8</v>
      </c>
      <c r="AW31" s="29"/>
      <c r="AX31" s="29"/>
      <c r="AY31" s="29"/>
      <c r="AZ31" s="29" t="s">
        <v>361</v>
      </c>
      <c r="BA31" s="24"/>
      <c r="BB31" s="29">
        <v>14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>
        <v>12</v>
      </c>
      <c r="BO31" s="29" t="s">
        <v>174</v>
      </c>
      <c r="BP31" s="29"/>
      <c r="BQ31" s="29"/>
      <c r="BR31" s="29"/>
      <c r="BS31" s="24"/>
      <c r="BT31" s="24"/>
      <c r="BU31" s="29"/>
      <c r="BV31" s="29" t="s">
        <v>174</v>
      </c>
      <c r="BW31" s="30"/>
      <c r="BX31" s="66"/>
      <c r="BY31" s="32" t="s">
        <v>647</v>
      </c>
      <c r="BZ31" t="s">
        <v>77</v>
      </c>
    </row>
    <row r="32" spans="1:78" x14ac:dyDescent="0.15">
      <c r="A32" s="33"/>
      <c r="B32" s="26">
        <v>42657</v>
      </c>
      <c r="C32" s="27" t="s">
        <v>377</v>
      </c>
      <c r="D32" s="68" t="s">
        <v>454</v>
      </c>
      <c r="E32" s="24"/>
      <c r="F32" s="24" t="s">
        <v>403</v>
      </c>
      <c r="G32" s="28">
        <v>42551</v>
      </c>
      <c r="H32" s="29" t="s">
        <v>175</v>
      </c>
      <c r="I32" s="29" t="s">
        <v>174</v>
      </c>
      <c r="J32" s="29"/>
      <c r="K32" s="24" t="s">
        <v>305</v>
      </c>
      <c r="L32" s="24" t="s">
        <v>631</v>
      </c>
      <c r="M32" s="81">
        <v>77.427272727272722</v>
      </c>
      <c r="N32" s="81">
        <v>31.418181818181818</v>
      </c>
      <c r="O32" s="24"/>
      <c r="P32" s="25"/>
      <c r="Q32" s="81"/>
      <c r="R32" s="25"/>
      <c r="S32" s="81"/>
      <c r="T32" s="25"/>
      <c r="U32" s="24"/>
      <c r="V32" s="81"/>
      <c r="W32" s="81"/>
      <c r="X32" s="24"/>
      <c r="Y32" s="24"/>
      <c r="Z32" s="25"/>
      <c r="AA32" s="24"/>
      <c r="AB32" s="25"/>
      <c r="AC32" s="24"/>
      <c r="AD32" s="24"/>
      <c r="AE32" s="81"/>
      <c r="AF32" s="81">
        <v>14.781818181818181</v>
      </c>
      <c r="AG32" s="25"/>
      <c r="AH32" s="24"/>
      <c r="AI32" s="81"/>
      <c r="AJ32" s="24"/>
      <c r="AK32" s="24"/>
      <c r="AL32" s="24"/>
      <c r="AM32" s="24"/>
      <c r="AN32" s="81"/>
      <c r="AO32" s="24"/>
      <c r="AP32" s="81"/>
      <c r="AQ32" s="24" t="s">
        <v>404</v>
      </c>
      <c r="AR32" s="29" t="s">
        <v>174</v>
      </c>
      <c r="AS32" s="29"/>
      <c r="AT32" s="29"/>
      <c r="AU32" s="29" t="s">
        <v>382</v>
      </c>
      <c r="AV32" s="29">
        <v>12.4</v>
      </c>
      <c r="AW32" s="29"/>
      <c r="AX32" s="29"/>
      <c r="AY32" s="29"/>
      <c r="AZ32" s="29" t="s">
        <v>361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>
        <v>12</v>
      </c>
      <c r="BO32" s="29" t="s">
        <v>174</v>
      </c>
      <c r="BP32" s="29"/>
      <c r="BQ32" s="29"/>
      <c r="BR32" s="29"/>
      <c r="BS32" s="30"/>
      <c r="BT32" s="30"/>
      <c r="BU32" s="29"/>
      <c r="BV32" s="29" t="s">
        <v>174</v>
      </c>
      <c r="BW32" s="24"/>
      <c r="BY32" s="32" t="s">
        <v>604</v>
      </c>
      <c r="BZ32" t="s">
        <v>452</v>
      </c>
    </row>
    <row r="33" spans="1:78" x14ac:dyDescent="0.15">
      <c r="A33" s="33">
        <v>5941</v>
      </c>
      <c r="B33" s="26">
        <v>42657</v>
      </c>
      <c r="C33" s="27" t="s">
        <v>377</v>
      </c>
      <c r="D33" s="68" t="s">
        <v>454</v>
      </c>
      <c r="E33" s="24"/>
      <c r="F33" s="24" t="s">
        <v>403</v>
      </c>
      <c r="G33" s="28">
        <v>42606</v>
      </c>
      <c r="H33" s="29" t="s">
        <v>175</v>
      </c>
      <c r="I33" s="29" t="s">
        <v>174</v>
      </c>
      <c r="J33" s="29"/>
      <c r="K33" s="24" t="s">
        <v>306</v>
      </c>
      <c r="L33" s="24" t="s">
        <v>525</v>
      </c>
      <c r="M33" s="81">
        <v>87.1</v>
      </c>
      <c r="N33" s="81">
        <v>35.099999999999994</v>
      </c>
      <c r="O33" s="24"/>
      <c r="P33" s="25"/>
      <c r="Q33" s="81"/>
      <c r="R33" s="25"/>
      <c r="S33" s="81"/>
      <c r="T33" s="24"/>
      <c r="U33" s="24"/>
      <c r="V33" s="81"/>
      <c r="W33" s="81"/>
      <c r="X33" s="24"/>
      <c r="Y33" s="24"/>
      <c r="Z33" s="24"/>
      <c r="AA33" s="24"/>
      <c r="AB33" s="24"/>
      <c r="AC33" s="24"/>
      <c r="AD33" s="24"/>
      <c r="AE33" s="81"/>
      <c r="AF33" s="81">
        <v>19.299999999999997</v>
      </c>
      <c r="AG33" s="25"/>
      <c r="AH33" s="24"/>
      <c r="AI33" s="81"/>
      <c r="AJ33" s="24"/>
      <c r="AK33" s="24"/>
      <c r="AL33" s="24"/>
      <c r="AM33" s="24"/>
      <c r="AN33" s="81"/>
      <c r="AO33" s="24"/>
      <c r="AP33" s="81"/>
      <c r="AQ33" s="24" t="s">
        <v>404</v>
      </c>
      <c r="AR33" s="29" t="s">
        <v>174</v>
      </c>
      <c r="AS33" s="29"/>
      <c r="AT33" s="29"/>
      <c r="AU33" s="29" t="s">
        <v>382</v>
      </c>
      <c r="AV33" s="29">
        <v>11.5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83"/>
      <c r="BS33" s="24"/>
      <c r="BT33" s="24"/>
      <c r="BU33" s="29"/>
      <c r="BV33" s="29" t="s">
        <v>174</v>
      </c>
      <c r="BW33" s="24"/>
      <c r="BY33" s="67" t="s">
        <v>605</v>
      </c>
      <c r="BZ33" t="s">
        <v>77</v>
      </c>
    </row>
    <row r="34" spans="1:78" x14ac:dyDescent="0.15">
      <c r="A34" s="33"/>
      <c r="B34" s="26">
        <v>42657</v>
      </c>
      <c r="C34" s="27" t="s">
        <v>377</v>
      </c>
      <c r="D34" s="68" t="s">
        <v>454</v>
      </c>
      <c r="E34" s="24"/>
      <c r="F34" s="24" t="s">
        <v>403</v>
      </c>
      <c r="G34" s="31">
        <v>42647</v>
      </c>
      <c r="H34" s="29" t="s">
        <v>175</v>
      </c>
      <c r="I34" s="29" t="s">
        <v>174</v>
      </c>
      <c r="J34" s="29"/>
      <c r="K34" s="24" t="s">
        <v>307</v>
      </c>
      <c r="L34" s="24" t="s">
        <v>327</v>
      </c>
      <c r="M34" s="81">
        <v>92.054545454545448</v>
      </c>
      <c r="N34" s="81">
        <v>36.072727272727271</v>
      </c>
      <c r="O34" s="24"/>
      <c r="P34" s="25"/>
      <c r="Q34" s="81"/>
      <c r="R34" s="25"/>
      <c r="S34" s="81"/>
      <c r="T34" s="25"/>
      <c r="U34" s="24"/>
      <c r="V34" s="81"/>
      <c r="W34" s="81"/>
      <c r="X34" s="24"/>
      <c r="Y34" s="24"/>
      <c r="Z34" s="24"/>
      <c r="AA34" s="24"/>
      <c r="AB34" s="24"/>
      <c r="AC34" s="24"/>
      <c r="AD34" s="24"/>
      <c r="AE34" s="81"/>
      <c r="AF34" s="81">
        <v>17.172727272727272</v>
      </c>
      <c r="AG34" s="25"/>
      <c r="AH34" s="24"/>
      <c r="AI34" s="81"/>
      <c r="AJ34" s="24"/>
      <c r="AK34" s="24"/>
      <c r="AL34" s="24"/>
      <c r="AM34" s="24"/>
      <c r="AN34" s="81"/>
      <c r="AO34" s="24"/>
      <c r="AP34" s="81"/>
      <c r="AQ34" s="24" t="s">
        <v>404</v>
      </c>
      <c r="AR34" s="29" t="s">
        <v>174</v>
      </c>
      <c r="AS34" s="29"/>
      <c r="AT34" s="29"/>
      <c r="AU34" s="29" t="s">
        <v>382</v>
      </c>
      <c r="AV34" s="29">
        <v>10</v>
      </c>
      <c r="AW34" s="29"/>
      <c r="AX34" s="29"/>
      <c r="AY34" s="29"/>
      <c r="AZ34" s="29" t="s">
        <v>174</v>
      </c>
      <c r="BA34" s="24"/>
      <c r="BB34" s="29">
        <v>11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74" t="s">
        <v>174</v>
      </c>
      <c r="BN34" s="29"/>
      <c r="BO34" s="29" t="s">
        <v>174</v>
      </c>
      <c r="BP34" s="29"/>
      <c r="BQ34" s="29"/>
      <c r="BR34" s="29"/>
      <c r="BS34" s="30"/>
      <c r="BT34" s="30"/>
      <c r="BU34" s="29"/>
      <c r="BV34" s="29" t="s">
        <v>174</v>
      </c>
      <c r="BW34" s="24"/>
      <c r="BY34" s="67" t="s">
        <v>648</v>
      </c>
      <c r="BZ34" t="s">
        <v>77</v>
      </c>
    </row>
    <row r="35" spans="1:78" x14ac:dyDescent="0.15">
      <c r="A35" s="33">
        <v>5632</v>
      </c>
      <c r="B35" s="26">
        <v>42657</v>
      </c>
      <c r="C35" s="27" t="s">
        <v>377</v>
      </c>
      <c r="D35" s="68" t="s">
        <v>454</v>
      </c>
      <c r="E35" s="24"/>
      <c r="F35" s="24" t="s">
        <v>403</v>
      </c>
      <c r="G35" s="31">
        <v>42551</v>
      </c>
      <c r="H35" s="74" t="s">
        <v>175</v>
      </c>
      <c r="I35" s="74" t="s">
        <v>174</v>
      </c>
      <c r="J35" s="29"/>
      <c r="K35" s="24" t="s">
        <v>495</v>
      </c>
      <c r="L35" s="68" t="s">
        <v>529</v>
      </c>
      <c r="M35" s="81">
        <v>120.68181818181817</v>
      </c>
      <c r="N35" s="81">
        <v>33.790909090909089</v>
      </c>
      <c r="O35" s="24"/>
      <c r="P35" s="25"/>
      <c r="Q35" s="81"/>
      <c r="R35" s="25"/>
      <c r="S35" s="81"/>
      <c r="T35" s="24"/>
      <c r="U35" s="24"/>
      <c r="V35" s="81"/>
      <c r="W35" s="81"/>
      <c r="X35" s="24"/>
      <c r="Y35" s="24"/>
      <c r="Z35" s="24"/>
      <c r="AA35" s="24"/>
      <c r="AB35" s="24"/>
      <c r="AC35" s="24"/>
      <c r="AD35" s="24"/>
      <c r="AE35" s="81"/>
      <c r="AF35" s="81">
        <v>16.40909090909091</v>
      </c>
      <c r="AG35" s="25"/>
      <c r="AH35" s="24"/>
      <c r="AI35" s="81"/>
      <c r="AJ35" s="24"/>
      <c r="AK35" s="24"/>
      <c r="AL35" s="24"/>
      <c r="AM35" s="24"/>
      <c r="AN35" s="81"/>
      <c r="AO35" s="24"/>
      <c r="AP35" s="81"/>
      <c r="AQ35" s="24" t="s">
        <v>404</v>
      </c>
      <c r="AR35" s="29" t="s">
        <v>174</v>
      </c>
      <c r="AS35" s="29"/>
      <c r="AT35" s="29"/>
      <c r="AU35" s="74" t="s">
        <v>382</v>
      </c>
      <c r="AV35" s="29">
        <v>7.5</v>
      </c>
      <c r="AW35" s="29"/>
      <c r="AX35" s="29"/>
      <c r="AY35" s="29"/>
      <c r="AZ35" s="29" t="s">
        <v>361</v>
      </c>
      <c r="BA35" s="24"/>
      <c r="BB35" s="29">
        <v>0</v>
      </c>
      <c r="BC35" s="29">
        <v>0</v>
      </c>
      <c r="BD35" s="29">
        <v>6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/>
      <c r="BO35" s="29" t="s">
        <v>174</v>
      </c>
      <c r="BP35" s="29"/>
      <c r="BQ35" s="29"/>
      <c r="BR35" s="29"/>
      <c r="BS35" s="30"/>
      <c r="BT35" s="30"/>
      <c r="BU35" s="29"/>
      <c r="BV35" s="29" t="s">
        <v>174</v>
      </c>
      <c r="BW35" s="24">
        <v>1</v>
      </c>
      <c r="BY35" s="32" t="s">
        <v>591</v>
      </c>
      <c r="BZ35" t="s">
        <v>77</v>
      </c>
    </row>
    <row r="36" spans="1:78" x14ac:dyDescent="0.15">
      <c r="A36" s="33">
        <v>6121</v>
      </c>
      <c r="B36" s="26">
        <v>42657</v>
      </c>
      <c r="C36" s="27" t="s">
        <v>377</v>
      </c>
      <c r="D36" s="68" t="s">
        <v>454</v>
      </c>
      <c r="E36" s="24"/>
      <c r="F36" s="24" t="s">
        <v>403</v>
      </c>
      <c r="G36" s="28">
        <v>42614</v>
      </c>
      <c r="H36" s="29" t="s">
        <v>175</v>
      </c>
      <c r="I36" s="29" t="s">
        <v>174</v>
      </c>
      <c r="J36" s="29"/>
      <c r="K36" s="68" t="s">
        <v>594</v>
      </c>
      <c r="L36" s="68" t="s">
        <v>595</v>
      </c>
      <c r="M36" s="81">
        <v>64.554545454545448</v>
      </c>
      <c r="N36" s="81">
        <v>26.36363636363636</v>
      </c>
      <c r="O36" s="24"/>
      <c r="P36" s="25"/>
      <c r="Q36" s="81"/>
      <c r="R36" s="25"/>
      <c r="S36" s="81"/>
      <c r="T36" s="25"/>
      <c r="U36" s="24"/>
      <c r="V36" s="81"/>
      <c r="W36" s="81"/>
      <c r="X36" s="25"/>
      <c r="Y36" s="24"/>
      <c r="Z36" s="25"/>
      <c r="AA36" s="24"/>
      <c r="AB36" s="25"/>
      <c r="AC36" s="24"/>
      <c r="AD36" s="24"/>
      <c r="AE36" s="81"/>
      <c r="AF36" s="81">
        <v>16.363636363636363</v>
      </c>
      <c r="AG36" s="25"/>
      <c r="AH36" s="24"/>
      <c r="AI36" s="81"/>
      <c r="AJ36" s="24"/>
      <c r="AK36" s="24"/>
      <c r="AL36" s="24"/>
      <c r="AM36" s="24"/>
      <c r="AN36" s="81"/>
      <c r="AO36" s="24"/>
      <c r="AP36" s="81"/>
      <c r="AQ36" s="24" t="s">
        <v>404</v>
      </c>
      <c r="AR36" s="29" t="s">
        <v>174</v>
      </c>
      <c r="AS36" s="29"/>
      <c r="AT36" s="29"/>
      <c r="AU36" s="29" t="s">
        <v>382</v>
      </c>
      <c r="AV36" s="29">
        <v>16</v>
      </c>
      <c r="AW36" s="29"/>
      <c r="AX36" s="29"/>
      <c r="AY36" s="29"/>
      <c r="AZ36" s="29" t="s">
        <v>361</v>
      </c>
      <c r="BA36" s="24"/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174</v>
      </c>
      <c r="BN36" s="29"/>
      <c r="BO36" s="29" t="s">
        <v>174</v>
      </c>
      <c r="BP36" s="91">
        <v>218.07272727272721</v>
      </c>
      <c r="BQ36" s="29"/>
      <c r="BR36" s="283">
        <v>42915</v>
      </c>
      <c r="BS36" s="24"/>
      <c r="BT36" s="24"/>
      <c r="BU36" s="29"/>
      <c r="BV36" s="29" t="s">
        <v>174</v>
      </c>
      <c r="BW36" s="68"/>
      <c r="BX36" t="s">
        <v>636</v>
      </c>
      <c r="BY36" s="32" t="s">
        <v>649</v>
      </c>
      <c r="BZ36" t="s">
        <v>77</v>
      </c>
    </row>
    <row r="37" spans="1:78" x14ac:dyDescent="0.15">
      <c r="A37" s="33"/>
      <c r="B37" s="26">
        <v>42657</v>
      </c>
      <c r="C37" s="27" t="s">
        <v>377</v>
      </c>
      <c r="D37" s="68" t="s">
        <v>454</v>
      </c>
      <c r="E37" s="24"/>
      <c r="F37" s="24" t="s">
        <v>403</v>
      </c>
      <c r="G37" s="28">
        <v>42587</v>
      </c>
      <c r="H37" s="29" t="s">
        <v>175</v>
      </c>
      <c r="I37" s="29" t="s">
        <v>174</v>
      </c>
      <c r="J37" s="29"/>
      <c r="K37" s="24" t="s">
        <v>597</v>
      </c>
      <c r="L37" s="24" t="s">
        <v>638</v>
      </c>
      <c r="M37" s="81">
        <v>85.799999999999983</v>
      </c>
      <c r="N37" s="81">
        <v>30.418181818181818</v>
      </c>
      <c r="O37" s="24"/>
      <c r="P37" s="25"/>
      <c r="Q37" s="81"/>
      <c r="R37" s="25"/>
      <c r="S37" s="81"/>
      <c r="T37" s="25"/>
      <c r="U37" s="24"/>
      <c r="V37" s="81"/>
      <c r="W37" s="81"/>
      <c r="X37" s="25"/>
      <c r="Y37" s="24"/>
      <c r="Z37" s="25"/>
      <c r="AA37" s="24"/>
      <c r="AB37" s="25"/>
      <c r="AC37" s="24"/>
      <c r="AD37" s="24"/>
      <c r="AE37" s="81"/>
      <c r="AF37" s="81">
        <v>15.618181818181817</v>
      </c>
      <c r="AG37" s="25"/>
      <c r="AH37" s="24"/>
      <c r="AI37" s="81"/>
      <c r="AJ37" s="24"/>
      <c r="AK37" s="24"/>
      <c r="AL37" s="24"/>
      <c r="AM37" s="24"/>
      <c r="AN37" s="81"/>
      <c r="AO37" s="24"/>
      <c r="AP37" s="81"/>
      <c r="AQ37" s="24" t="s">
        <v>404</v>
      </c>
      <c r="AR37" s="29" t="s">
        <v>174</v>
      </c>
      <c r="AS37" s="29"/>
      <c r="AT37" s="29"/>
      <c r="AU37" s="29" t="s">
        <v>382</v>
      </c>
      <c r="AV37" s="29">
        <v>4</v>
      </c>
      <c r="AW37" s="29"/>
      <c r="AX37" s="29"/>
      <c r="AY37" s="29"/>
      <c r="AZ37" s="29" t="s">
        <v>174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174</v>
      </c>
      <c r="BN37" s="29">
        <v>12</v>
      </c>
      <c r="BO37" s="29" t="s">
        <v>174</v>
      </c>
      <c r="BP37" s="29"/>
      <c r="BQ37" s="29"/>
      <c r="BR37" s="29"/>
      <c r="BS37" s="30"/>
      <c r="BT37" s="30"/>
      <c r="BU37" s="29"/>
      <c r="BV37" s="29" t="s">
        <v>174</v>
      </c>
      <c r="BW37" s="24"/>
      <c r="BY37" s="67" t="s">
        <v>650</v>
      </c>
      <c r="BZ37" t="s">
        <v>77</v>
      </c>
    </row>
    <row r="38" spans="1:78" x14ac:dyDescent="0.15">
      <c r="A38" s="33"/>
      <c r="B38" s="26">
        <v>42663</v>
      </c>
      <c r="C38" s="27" t="s">
        <v>377</v>
      </c>
      <c r="D38" s="68" t="s">
        <v>454</v>
      </c>
      <c r="E38" s="24"/>
      <c r="F38" s="24" t="s">
        <v>403</v>
      </c>
      <c r="G38" s="28">
        <v>42552</v>
      </c>
      <c r="H38" s="74" t="s">
        <v>175</v>
      </c>
      <c r="I38" s="74" t="s">
        <v>174</v>
      </c>
      <c r="J38" s="29"/>
      <c r="K38" s="68" t="s">
        <v>676</v>
      </c>
      <c r="L38" s="68" t="s">
        <v>677</v>
      </c>
      <c r="M38" s="81">
        <v>75</v>
      </c>
      <c r="N38" s="81">
        <v>36.381818181818183</v>
      </c>
      <c r="O38" s="24"/>
      <c r="P38" s="25"/>
      <c r="Q38" s="81"/>
      <c r="R38" s="25"/>
      <c r="S38" s="81"/>
      <c r="T38" s="25"/>
      <c r="U38" s="24"/>
      <c r="V38" s="81"/>
      <c r="W38" s="81"/>
      <c r="X38" s="25"/>
      <c r="Y38" s="24"/>
      <c r="Z38" s="25"/>
      <c r="AA38" s="24"/>
      <c r="AB38" s="25"/>
      <c r="AC38" s="24"/>
      <c r="AD38" s="24"/>
      <c r="AE38" s="81"/>
      <c r="AF38" s="81">
        <v>23.990909090909089</v>
      </c>
      <c r="AG38" s="25"/>
      <c r="AH38" s="24"/>
      <c r="AI38" s="81"/>
      <c r="AJ38" s="24"/>
      <c r="AK38" s="24"/>
      <c r="AL38" s="24"/>
      <c r="AM38" s="24"/>
      <c r="AN38" s="81"/>
      <c r="AO38" s="24"/>
      <c r="AP38" s="81"/>
      <c r="AQ38" s="24" t="s">
        <v>404</v>
      </c>
      <c r="AR38" s="29" t="s">
        <v>174</v>
      </c>
      <c r="AS38" s="29"/>
      <c r="AT38" s="29"/>
      <c r="AU38" s="29" t="s">
        <v>382</v>
      </c>
      <c r="AV38" s="29">
        <v>6</v>
      </c>
      <c r="AW38" s="29"/>
      <c r="AX38" s="29"/>
      <c r="AY38" s="29"/>
      <c r="AZ38" s="74" t="s">
        <v>361</v>
      </c>
      <c r="BA38" s="24"/>
      <c r="BB38" s="29">
        <v>0</v>
      </c>
      <c r="BC38" s="29">
        <v>15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74" t="s">
        <v>174</v>
      </c>
      <c r="BN38" s="29"/>
      <c r="BO38" s="29" t="s">
        <v>174</v>
      </c>
      <c r="BP38" s="29"/>
      <c r="BQ38" s="29"/>
      <c r="BR38" s="29"/>
      <c r="BS38" s="30"/>
      <c r="BT38" s="30"/>
      <c r="BU38" s="29"/>
      <c r="BV38" s="29" t="s">
        <v>174</v>
      </c>
      <c r="BW38" s="24"/>
      <c r="BX38" s="266" t="s">
        <v>679</v>
      </c>
      <c r="BY38" s="67" t="s">
        <v>680</v>
      </c>
      <c r="BZ38" s="66" t="s">
        <v>452</v>
      </c>
    </row>
    <row r="39" spans="1:78" x14ac:dyDescent="0.15">
      <c r="A39" s="33"/>
      <c r="B39" s="26">
        <v>42663</v>
      </c>
      <c r="C39" s="27" t="s">
        <v>377</v>
      </c>
      <c r="D39" s="68" t="s">
        <v>454</v>
      </c>
      <c r="E39" s="24"/>
      <c r="F39" s="24" t="s">
        <v>403</v>
      </c>
      <c r="G39" s="28">
        <v>42657</v>
      </c>
      <c r="H39" s="74" t="s">
        <v>175</v>
      </c>
      <c r="I39" s="74" t="s">
        <v>174</v>
      </c>
      <c r="J39" s="29"/>
      <c r="K39" s="68" t="s">
        <v>691</v>
      </c>
      <c r="L39" s="68" t="s">
        <v>692</v>
      </c>
      <c r="M39" s="81">
        <v>93</v>
      </c>
      <c r="N39" s="81">
        <v>26.8</v>
      </c>
      <c r="O39" s="24"/>
      <c r="P39" s="25"/>
      <c r="Q39" s="81"/>
      <c r="R39" s="25"/>
      <c r="S39" s="81"/>
      <c r="T39" s="25"/>
      <c r="U39" s="24"/>
      <c r="V39" s="81"/>
      <c r="W39" s="81"/>
      <c r="X39" s="25"/>
      <c r="Y39" s="24"/>
      <c r="Z39" s="25"/>
      <c r="AA39" s="24"/>
      <c r="AB39" s="25"/>
      <c r="AC39" s="24"/>
      <c r="AD39" s="24"/>
      <c r="AE39" s="81"/>
      <c r="AF39" s="81">
        <v>16</v>
      </c>
      <c r="AG39" s="25"/>
      <c r="AH39" s="24"/>
      <c r="AI39" s="81"/>
      <c r="AJ39" s="24"/>
      <c r="AK39" s="24"/>
      <c r="AL39" s="24"/>
      <c r="AM39" s="24"/>
      <c r="AN39" s="81"/>
      <c r="AO39" s="24"/>
      <c r="AP39" s="81"/>
      <c r="AQ39" s="24" t="s">
        <v>404</v>
      </c>
      <c r="AR39" s="29" t="s">
        <v>174</v>
      </c>
      <c r="AS39" s="29"/>
      <c r="AT39" s="29"/>
      <c r="AU39" s="29" t="s">
        <v>382</v>
      </c>
      <c r="AV39" s="29">
        <v>5</v>
      </c>
      <c r="AW39" s="29"/>
      <c r="AX39" s="29"/>
      <c r="AY39" s="29"/>
      <c r="AZ39" s="74" t="s">
        <v>361</v>
      </c>
      <c r="BA39" s="24"/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74" t="s">
        <v>174</v>
      </c>
      <c r="BN39" s="29"/>
      <c r="BO39" s="29" t="s">
        <v>174</v>
      </c>
      <c r="BP39" s="29"/>
      <c r="BQ39" s="29"/>
      <c r="BR39" s="29"/>
      <c r="BS39" s="30"/>
      <c r="BT39" s="30"/>
      <c r="BU39" s="29"/>
      <c r="BV39" s="29" t="s">
        <v>174</v>
      </c>
      <c r="BW39" s="24">
        <v>1</v>
      </c>
      <c r="BX39" s="308"/>
      <c r="BY39" s="67" t="s">
        <v>694</v>
      </c>
      <c r="BZ39" s="66" t="s">
        <v>452</v>
      </c>
    </row>
    <row r="40" spans="1:78" x14ac:dyDescent="0.15">
      <c r="A40" s="33">
        <v>4252</v>
      </c>
      <c r="B40" s="26">
        <v>42656</v>
      </c>
      <c r="C40" s="27" t="s">
        <v>377</v>
      </c>
      <c r="D40" s="68" t="s">
        <v>454</v>
      </c>
      <c r="E40" s="24"/>
      <c r="F40" s="24" t="s">
        <v>417</v>
      </c>
      <c r="G40" s="28">
        <v>42551</v>
      </c>
      <c r="H40" s="29" t="s">
        <v>175</v>
      </c>
      <c r="I40" s="29" t="s">
        <v>174</v>
      </c>
      <c r="J40" s="29"/>
      <c r="K40" s="24" t="s">
        <v>296</v>
      </c>
      <c r="L40" s="24" t="s">
        <v>510</v>
      </c>
      <c r="M40" s="81">
        <v>76.536363636363632</v>
      </c>
      <c r="N40" s="81">
        <v>33.309090909090905</v>
      </c>
      <c r="O40" s="24"/>
      <c r="P40" s="25"/>
      <c r="Q40" s="81"/>
      <c r="R40" s="25"/>
      <c r="S40" s="81"/>
      <c r="T40" s="25"/>
      <c r="U40" s="24"/>
      <c r="V40" s="81"/>
      <c r="W40" s="81">
        <v>21.499999999999996</v>
      </c>
      <c r="X40" s="25"/>
      <c r="Y40" s="24"/>
      <c r="Z40" s="25"/>
      <c r="AA40" s="24"/>
      <c r="AB40" s="25"/>
      <c r="AC40" s="24"/>
      <c r="AD40" s="24"/>
      <c r="AE40" s="81"/>
      <c r="AF40" s="81"/>
      <c r="AG40" s="25"/>
      <c r="AH40" s="24"/>
      <c r="AI40" s="81"/>
      <c r="AJ40" s="24"/>
      <c r="AK40" s="24"/>
      <c r="AL40" s="24"/>
      <c r="AM40" s="24"/>
      <c r="AN40" s="81"/>
      <c r="AO40" s="24"/>
      <c r="AP40" s="81"/>
      <c r="AQ40" s="24" t="s">
        <v>418</v>
      </c>
      <c r="AR40" s="29" t="s">
        <v>174</v>
      </c>
      <c r="AS40" s="29"/>
      <c r="AT40" s="29"/>
      <c r="AU40" s="29" t="s">
        <v>382</v>
      </c>
      <c r="AV40" s="29">
        <v>12.4</v>
      </c>
      <c r="AW40" s="29"/>
      <c r="AX40" s="29"/>
      <c r="AY40" s="29"/>
      <c r="AZ40" s="29" t="s">
        <v>361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174</v>
      </c>
      <c r="BN40" s="29">
        <v>12</v>
      </c>
      <c r="BO40" s="29" t="s">
        <v>174</v>
      </c>
      <c r="BP40" s="29"/>
      <c r="BQ40" s="29">
        <v>12</v>
      </c>
      <c r="BR40" s="29"/>
      <c r="BS40" s="30"/>
      <c r="BT40" s="30"/>
      <c r="BU40" s="29"/>
      <c r="BV40" s="29" t="s">
        <v>174</v>
      </c>
      <c r="BW40" s="24"/>
      <c r="BX40" s="66"/>
      <c r="BY40" s="67" t="s">
        <v>651</v>
      </c>
      <c r="BZ40" t="s">
        <v>77</v>
      </c>
    </row>
    <row r="41" spans="1:78" x14ac:dyDescent="0.15">
      <c r="A41" s="33">
        <v>5551</v>
      </c>
      <c r="B41" s="26">
        <v>42656</v>
      </c>
      <c r="C41" s="27" t="s">
        <v>377</v>
      </c>
      <c r="D41" s="68" t="s">
        <v>454</v>
      </c>
      <c r="E41" s="24"/>
      <c r="F41" s="24" t="s">
        <v>417</v>
      </c>
      <c r="G41" s="31">
        <v>42647</v>
      </c>
      <c r="H41" s="29" t="s">
        <v>175</v>
      </c>
      <c r="I41" s="29" t="s">
        <v>174</v>
      </c>
      <c r="J41" s="29"/>
      <c r="K41" s="24" t="s">
        <v>297</v>
      </c>
      <c r="L41" s="24" t="s">
        <v>511</v>
      </c>
      <c r="M41" s="81">
        <v>90.5</v>
      </c>
      <c r="N41" s="81">
        <v>38.572727272727271</v>
      </c>
      <c r="O41" s="24"/>
      <c r="P41" s="25"/>
      <c r="Q41" s="81"/>
      <c r="R41" s="25"/>
      <c r="S41" s="81"/>
      <c r="T41" s="25"/>
      <c r="U41" s="24"/>
      <c r="V41" s="81"/>
      <c r="W41" s="81">
        <v>23.027272727272724</v>
      </c>
      <c r="X41" s="24"/>
      <c r="Y41" s="24"/>
      <c r="Z41" s="24"/>
      <c r="AA41" s="24"/>
      <c r="AB41" s="24"/>
      <c r="AC41" s="24"/>
      <c r="AD41" s="24"/>
      <c r="AE41" s="81"/>
      <c r="AF41" s="81"/>
      <c r="AG41" s="25"/>
      <c r="AH41" s="24"/>
      <c r="AI41" s="81"/>
      <c r="AJ41" s="24"/>
      <c r="AK41" s="24"/>
      <c r="AL41" s="24"/>
      <c r="AM41" s="24"/>
      <c r="AN41" s="81"/>
      <c r="AO41" s="24"/>
      <c r="AP41" s="81"/>
      <c r="AQ41" s="24" t="s">
        <v>418</v>
      </c>
      <c r="AR41" s="29" t="s">
        <v>174</v>
      </c>
      <c r="AS41" s="29"/>
      <c r="AT41" s="29"/>
      <c r="AU41" s="29" t="s">
        <v>382</v>
      </c>
      <c r="AV41" s="29">
        <v>9.5</v>
      </c>
      <c r="AW41" s="29"/>
      <c r="AX41" s="29"/>
      <c r="AY41" s="29"/>
      <c r="AZ41" s="29" t="s">
        <v>174</v>
      </c>
      <c r="BA41" s="24"/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/>
      <c r="BO41" s="29" t="s">
        <v>174</v>
      </c>
      <c r="BP41" s="29"/>
      <c r="BQ41" s="29"/>
      <c r="BR41" s="29"/>
      <c r="BS41" s="24"/>
      <c r="BT41" s="24"/>
      <c r="BU41" s="29"/>
      <c r="BV41" s="29" t="s">
        <v>174</v>
      </c>
      <c r="BW41" s="68">
        <v>1</v>
      </c>
      <c r="BX41" s="66"/>
      <c r="BY41" s="67" t="s">
        <v>652</v>
      </c>
      <c r="BZ41" t="s">
        <v>39</v>
      </c>
    </row>
    <row r="42" spans="1:78" x14ac:dyDescent="0.15">
      <c r="A42" s="33"/>
      <c r="B42" s="26">
        <v>42656</v>
      </c>
      <c r="C42" s="27" t="s">
        <v>377</v>
      </c>
      <c r="D42" s="68" t="s">
        <v>454</v>
      </c>
      <c r="E42" s="24"/>
      <c r="F42" s="24" t="s">
        <v>417</v>
      </c>
      <c r="G42" s="28">
        <v>42551</v>
      </c>
      <c r="H42" s="29" t="s">
        <v>175</v>
      </c>
      <c r="I42" s="29" t="s">
        <v>174</v>
      </c>
      <c r="J42" s="29"/>
      <c r="K42" s="24" t="s">
        <v>298</v>
      </c>
      <c r="L42" s="68" t="s">
        <v>624</v>
      </c>
      <c r="M42" s="81">
        <v>79.518181818181816</v>
      </c>
      <c r="N42" s="81">
        <v>33.200000000000003</v>
      </c>
      <c r="O42" s="24"/>
      <c r="P42" s="24"/>
      <c r="Q42" s="81"/>
      <c r="R42" s="24"/>
      <c r="S42" s="81"/>
      <c r="T42" s="24"/>
      <c r="U42" s="24"/>
      <c r="V42" s="81"/>
      <c r="W42" s="81">
        <v>26.545454545454543</v>
      </c>
      <c r="X42" s="24"/>
      <c r="Y42" s="24"/>
      <c r="Z42" s="24"/>
      <c r="AA42" s="24"/>
      <c r="AB42" s="24"/>
      <c r="AC42" s="24"/>
      <c r="AD42" s="24"/>
      <c r="AE42" s="81"/>
      <c r="AF42" s="81"/>
      <c r="AG42" s="24"/>
      <c r="AH42" s="24"/>
      <c r="AI42" s="81"/>
      <c r="AJ42" s="24"/>
      <c r="AK42" s="24"/>
      <c r="AL42" s="24"/>
      <c r="AM42" s="24"/>
      <c r="AN42" s="81"/>
      <c r="AO42" s="24"/>
      <c r="AP42" s="81"/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14</v>
      </c>
      <c r="AW42" s="29"/>
      <c r="AX42" s="29"/>
      <c r="AY42" s="29"/>
      <c r="AZ42" s="29" t="s">
        <v>174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/>
      <c r="BO42" s="29" t="s">
        <v>174</v>
      </c>
      <c r="BP42" s="29"/>
      <c r="BQ42" s="29"/>
      <c r="BR42" s="29"/>
      <c r="BS42" s="30"/>
      <c r="BT42" s="30"/>
      <c r="BU42" s="29"/>
      <c r="BV42" s="29" t="s">
        <v>174</v>
      </c>
      <c r="BW42" s="24">
        <v>1</v>
      </c>
      <c r="BX42" s="66"/>
      <c r="BY42" s="32" t="s">
        <v>653</v>
      </c>
      <c r="BZ42" t="s">
        <v>77</v>
      </c>
    </row>
    <row r="43" spans="1:78" x14ac:dyDescent="0.15">
      <c r="A43" s="33">
        <v>243</v>
      </c>
      <c r="B43" s="26">
        <v>42656</v>
      </c>
      <c r="C43" s="27" t="s">
        <v>377</v>
      </c>
      <c r="D43" s="68" t="s">
        <v>454</v>
      </c>
      <c r="E43" s="24"/>
      <c r="F43" s="24" t="s">
        <v>417</v>
      </c>
      <c r="G43" s="28">
        <v>42551</v>
      </c>
      <c r="H43" s="29" t="s">
        <v>175</v>
      </c>
      <c r="I43" s="29" t="s">
        <v>174</v>
      </c>
      <c r="J43" s="29"/>
      <c r="K43" s="24" t="s">
        <v>299</v>
      </c>
      <c r="L43" s="24" t="s">
        <v>446</v>
      </c>
      <c r="M43" s="81">
        <v>95.663636363636357</v>
      </c>
      <c r="N43" s="81">
        <v>37.763636363636358</v>
      </c>
      <c r="O43" s="24"/>
      <c r="P43" s="25"/>
      <c r="Q43" s="81"/>
      <c r="R43" s="25"/>
      <c r="S43" s="81"/>
      <c r="T43" s="24"/>
      <c r="U43" s="24"/>
      <c r="V43" s="81"/>
      <c r="W43" s="81">
        <v>26.799999999999997</v>
      </c>
      <c r="X43" s="24"/>
      <c r="Y43" s="24"/>
      <c r="Z43" s="24"/>
      <c r="AA43" s="24"/>
      <c r="AB43" s="24"/>
      <c r="AC43" s="24"/>
      <c r="AD43" s="24"/>
      <c r="AE43" s="81"/>
      <c r="AF43" s="81"/>
      <c r="AG43" s="25"/>
      <c r="AH43" s="24"/>
      <c r="AI43" s="81"/>
      <c r="AJ43" s="24"/>
      <c r="AK43" s="24"/>
      <c r="AL43" s="24"/>
      <c r="AM43" s="24"/>
      <c r="AN43" s="81"/>
      <c r="AO43" s="24"/>
      <c r="AP43" s="81"/>
      <c r="AQ43" s="24" t="s">
        <v>418</v>
      </c>
      <c r="AR43" s="29" t="s">
        <v>174</v>
      </c>
      <c r="AS43" s="29"/>
      <c r="AT43" s="29"/>
      <c r="AU43" s="29" t="s">
        <v>382</v>
      </c>
      <c r="AV43" s="29">
        <v>11.6</v>
      </c>
      <c r="AW43" s="29"/>
      <c r="AX43" s="29"/>
      <c r="AY43" s="29"/>
      <c r="AZ43" s="29" t="s">
        <v>174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/>
      <c r="BO43" s="29" t="s">
        <v>174</v>
      </c>
      <c r="BP43" s="29"/>
      <c r="BQ43" s="29"/>
      <c r="BR43" s="29"/>
      <c r="BS43" s="30"/>
      <c r="BT43" s="24"/>
      <c r="BU43" s="29"/>
      <c r="BV43" s="29" t="s">
        <v>174</v>
      </c>
      <c r="BW43" s="24"/>
      <c r="BY43" s="32" t="s">
        <v>654</v>
      </c>
      <c r="BZ43" t="s">
        <v>77</v>
      </c>
    </row>
    <row r="44" spans="1:78" x14ac:dyDescent="0.15">
      <c r="A44" s="33">
        <v>5771</v>
      </c>
      <c r="B44" s="26">
        <v>42657</v>
      </c>
      <c r="C44" s="27" t="s">
        <v>377</v>
      </c>
      <c r="D44" s="68" t="s">
        <v>454</v>
      </c>
      <c r="E44" s="24"/>
      <c r="F44" s="24" t="s">
        <v>417</v>
      </c>
      <c r="G44" s="28">
        <v>42643</v>
      </c>
      <c r="H44" s="29" t="s">
        <v>175</v>
      </c>
      <c r="I44" s="29" t="s">
        <v>174</v>
      </c>
      <c r="J44" s="29"/>
      <c r="K44" s="24" t="s">
        <v>300</v>
      </c>
      <c r="L44" s="24" t="s">
        <v>517</v>
      </c>
      <c r="M44" s="81">
        <v>99.5</v>
      </c>
      <c r="N44" s="81">
        <v>41.9</v>
      </c>
      <c r="O44" s="24" t="s">
        <v>518</v>
      </c>
      <c r="P44" s="25">
        <v>1000</v>
      </c>
      <c r="Q44" s="81">
        <v>42.599999999999994</v>
      </c>
      <c r="R44" s="25">
        <v>1500</v>
      </c>
      <c r="S44" s="81">
        <v>44.9</v>
      </c>
      <c r="T44" s="25"/>
      <c r="U44" s="24"/>
      <c r="V44" s="81"/>
      <c r="W44" s="81">
        <v>27.954545454545453</v>
      </c>
      <c r="X44" s="24"/>
      <c r="Y44" s="24"/>
      <c r="Z44" s="24"/>
      <c r="AA44" s="24"/>
      <c r="AB44" s="24"/>
      <c r="AC44" s="24"/>
      <c r="AD44" s="24"/>
      <c r="AE44" s="81"/>
      <c r="AF44" s="81"/>
      <c r="AG44" s="25"/>
      <c r="AH44" s="24"/>
      <c r="AI44" s="81"/>
      <c r="AJ44" s="24"/>
      <c r="AK44" s="24"/>
      <c r="AL44" s="24"/>
      <c r="AM44" s="24"/>
      <c r="AN44" s="81"/>
      <c r="AO44" s="24"/>
      <c r="AP44" s="81"/>
      <c r="AQ44" s="24" t="s">
        <v>418</v>
      </c>
      <c r="AR44" s="29" t="s">
        <v>174</v>
      </c>
      <c r="AS44" s="29"/>
      <c r="AT44" s="29"/>
      <c r="AU44" s="29" t="s">
        <v>382</v>
      </c>
      <c r="AV44" s="29">
        <v>10.199999999999999</v>
      </c>
      <c r="AW44" s="29"/>
      <c r="AX44" s="29"/>
      <c r="AY44" s="29"/>
      <c r="AZ44" s="29" t="s">
        <v>361</v>
      </c>
      <c r="BA44" s="24"/>
      <c r="BB44" s="29">
        <v>0</v>
      </c>
      <c r="BC44" s="29">
        <v>0</v>
      </c>
      <c r="BD44" s="29">
        <v>7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29"/>
      <c r="BQ44" s="29"/>
      <c r="BR44" s="29"/>
      <c r="BS44" s="24"/>
      <c r="BT44" s="24"/>
      <c r="BU44" s="29"/>
      <c r="BV44" s="29" t="s">
        <v>174</v>
      </c>
      <c r="BW44" s="24"/>
      <c r="BY44" s="32" t="s">
        <v>655</v>
      </c>
      <c r="BZ44" t="s">
        <v>39</v>
      </c>
    </row>
    <row r="45" spans="1:78" x14ac:dyDescent="0.15">
      <c r="A45" s="33">
        <v>5269</v>
      </c>
      <c r="B45" s="26">
        <v>42657</v>
      </c>
      <c r="C45" s="27" t="s">
        <v>377</v>
      </c>
      <c r="D45" s="68" t="s">
        <v>454</v>
      </c>
      <c r="E45" s="24"/>
      <c r="F45" s="24" t="s">
        <v>417</v>
      </c>
      <c r="G45" s="28">
        <v>42582</v>
      </c>
      <c r="H45" s="29" t="s">
        <v>175</v>
      </c>
      <c r="I45" s="29" t="s">
        <v>174</v>
      </c>
      <c r="J45" s="29"/>
      <c r="K45" s="24" t="s">
        <v>301</v>
      </c>
      <c r="L45" s="24" t="s">
        <v>520</v>
      </c>
      <c r="M45" s="81">
        <v>99.6</v>
      </c>
      <c r="N45" s="81">
        <v>42.509090909090901</v>
      </c>
      <c r="O45" s="24"/>
      <c r="P45" s="25"/>
      <c r="Q45" s="81"/>
      <c r="R45" s="25"/>
      <c r="S45" s="81"/>
      <c r="T45" s="25"/>
      <c r="U45" s="24"/>
      <c r="V45" s="81"/>
      <c r="W45" s="81">
        <v>19.936363636363634</v>
      </c>
      <c r="X45" s="25"/>
      <c r="Y45" s="24"/>
      <c r="Z45" s="25"/>
      <c r="AA45" s="24"/>
      <c r="AB45" s="25"/>
      <c r="AC45" s="24"/>
      <c r="AD45" s="24"/>
      <c r="AE45" s="81"/>
      <c r="AF45" s="81"/>
      <c r="AG45" s="25"/>
      <c r="AH45" s="24"/>
      <c r="AI45" s="81"/>
      <c r="AJ45" s="24"/>
      <c r="AK45" s="24"/>
      <c r="AL45" s="24"/>
      <c r="AM45" s="24"/>
      <c r="AN45" s="81"/>
      <c r="AO45" s="24"/>
      <c r="AP45" s="81"/>
      <c r="AQ45" s="24" t="s">
        <v>418</v>
      </c>
      <c r="AR45" s="29" t="s">
        <v>174</v>
      </c>
      <c r="AS45" s="29"/>
      <c r="AT45" s="29"/>
      <c r="AU45" s="29" t="s">
        <v>382</v>
      </c>
      <c r="AV45" s="29">
        <v>12.65</v>
      </c>
      <c r="AW45" s="29"/>
      <c r="AX45" s="29"/>
      <c r="AY45" s="29"/>
      <c r="AZ45" s="29" t="s">
        <v>361</v>
      </c>
      <c r="BA45" s="24"/>
      <c r="BB45" s="29">
        <v>3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>
        <v>12</v>
      </c>
      <c r="BO45" s="29" t="s">
        <v>174</v>
      </c>
      <c r="BP45" s="29"/>
      <c r="BQ45" s="29"/>
      <c r="BR45" s="29"/>
      <c r="BS45" s="24"/>
      <c r="BT45" s="24"/>
      <c r="BU45" s="29"/>
      <c r="BV45" s="29" t="s">
        <v>174</v>
      </c>
      <c r="BW45" s="24"/>
      <c r="BX45" s="66"/>
      <c r="BY45" s="67" t="s">
        <v>656</v>
      </c>
      <c r="BZ45" t="s">
        <v>39</v>
      </c>
    </row>
    <row r="46" spans="1:78" x14ac:dyDescent="0.15">
      <c r="A46" s="33">
        <v>932</v>
      </c>
      <c r="B46" s="26">
        <v>42657</v>
      </c>
      <c r="C46" s="27" t="s">
        <v>377</v>
      </c>
      <c r="D46" s="68" t="s">
        <v>454</v>
      </c>
      <c r="E46" s="24"/>
      <c r="F46" s="24" t="s">
        <v>417</v>
      </c>
      <c r="G46" s="28">
        <v>42634</v>
      </c>
      <c r="H46" s="29" t="s">
        <v>175</v>
      </c>
      <c r="I46" s="29" t="s">
        <v>174</v>
      </c>
      <c r="J46" s="29"/>
      <c r="K46" s="24" t="s">
        <v>303</v>
      </c>
      <c r="L46" s="24" t="s">
        <v>522</v>
      </c>
      <c r="M46" s="81">
        <v>103.29090909090908</v>
      </c>
      <c r="N46" s="81">
        <v>42.081818181818178</v>
      </c>
      <c r="O46" s="24"/>
      <c r="P46" s="25"/>
      <c r="Q46" s="81"/>
      <c r="R46" s="25"/>
      <c r="S46" s="81"/>
      <c r="T46" s="24"/>
      <c r="U46" s="24"/>
      <c r="V46" s="81"/>
      <c r="W46" s="81">
        <v>25.09090909090909</v>
      </c>
      <c r="X46" s="24"/>
      <c r="Y46" s="24"/>
      <c r="Z46" s="24"/>
      <c r="AA46" s="24"/>
      <c r="AB46" s="24"/>
      <c r="AC46" s="24"/>
      <c r="AD46" s="24"/>
      <c r="AE46" s="81"/>
      <c r="AF46" s="81"/>
      <c r="AG46" s="25"/>
      <c r="AH46" s="24"/>
      <c r="AI46" s="81"/>
      <c r="AJ46" s="24"/>
      <c r="AK46" s="24"/>
      <c r="AL46" s="24"/>
      <c r="AM46" s="24"/>
      <c r="AN46" s="81"/>
      <c r="AO46" s="24"/>
      <c r="AP46" s="81"/>
      <c r="AQ46" s="24" t="s">
        <v>418</v>
      </c>
      <c r="AR46" s="29" t="s">
        <v>174</v>
      </c>
      <c r="AS46" s="29"/>
      <c r="AT46" s="29"/>
      <c r="AU46" s="29" t="s">
        <v>382</v>
      </c>
      <c r="AV46" s="29">
        <v>6.8</v>
      </c>
      <c r="AW46" s="29"/>
      <c r="AX46" s="29"/>
      <c r="AY46" s="29"/>
      <c r="AZ46" s="29" t="s">
        <v>361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/>
      <c r="BO46" s="29" t="s">
        <v>174</v>
      </c>
      <c r="BP46" s="29"/>
      <c r="BQ46" s="29"/>
      <c r="BR46" s="29"/>
      <c r="BS46" s="24"/>
      <c r="BT46" s="24"/>
      <c r="BU46" s="29"/>
      <c r="BV46" s="29" t="s">
        <v>174</v>
      </c>
      <c r="BW46" s="24"/>
      <c r="BY46" s="32" t="s">
        <v>657</v>
      </c>
      <c r="BZ46" t="s">
        <v>77</v>
      </c>
    </row>
    <row r="47" spans="1:78" x14ac:dyDescent="0.15">
      <c r="A47" s="33">
        <v>5409</v>
      </c>
      <c r="B47" s="26">
        <v>42657</v>
      </c>
      <c r="C47" s="27" t="s">
        <v>377</v>
      </c>
      <c r="D47" s="68" t="s">
        <v>454</v>
      </c>
      <c r="E47" s="24"/>
      <c r="F47" s="24" t="s">
        <v>417</v>
      </c>
      <c r="G47" s="26">
        <v>42551</v>
      </c>
      <c r="H47" s="29" t="s">
        <v>175</v>
      </c>
      <c r="I47" s="29" t="s">
        <v>174</v>
      </c>
      <c r="J47" s="29"/>
      <c r="K47" s="24" t="s">
        <v>304</v>
      </c>
      <c r="L47" s="24" t="s">
        <v>523</v>
      </c>
      <c r="M47" s="81">
        <v>89.772727272727266</v>
      </c>
      <c r="N47" s="81">
        <v>40.545454545454547</v>
      </c>
      <c r="O47" s="24"/>
      <c r="P47" s="25"/>
      <c r="Q47" s="81"/>
      <c r="R47" s="25"/>
      <c r="S47" s="81"/>
      <c r="T47" s="25"/>
      <c r="U47" s="24"/>
      <c r="V47" s="81"/>
      <c r="W47" s="81">
        <v>25.481818181818181</v>
      </c>
      <c r="X47" s="24"/>
      <c r="Y47" s="24"/>
      <c r="Z47" s="25"/>
      <c r="AA47" s="24"/>
      <c r="AB47" s="25"/>
      <c r="AC47" s="24"/>
      <c r="AD47" s="24"/>
      <c r="AE47" s="81"/>
      <c r="AF47" s="81"/>
      <c r="AG47" s="25"/>
      <c r="AH47" s="24"/>
      <c r="AI47" s="81"/>
      <c r="AJ47" s="24"/>
      <c r="AK47" s="24"/>
      <c r="AL47" s="24"/>
      <c r="AM47" s="24"/>
      <c r="AN47" s="81"/>
      <c r="AO47" s="24"/>
      <c r="AP47" s="81"/>
      <c r="AQ47" s="24" t="s">
        <v>418</v>
      </c>
      <c r="AR47" s="29" t="s">
        <v>174</v>
      </c>
      <c r="AS47" s="29"/>
      <c r="AT47" s="29"/>
      <c r="AU47" s="29" t="s">
        <v>382</v>
      </c>
      <c r="AV47" s="29">
        <v>8</v>
      </c>
      <c r="AW47" s="29"/>
      <c r="AX47" s="29"/>
      <c r="AY47" s="29"/>
      <c r="AZ47" s="29" t="s">
        <v>361</v>
      </c>
      <c r="BA47" s="24"/>
      <c r="BB47" s="29">
        <v>14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>
        <v>12</v>
      </c>
      <c r="BO47" s="29" t="s">
        <v>174</v>
      </c>
      <c r="BP47" s="29"/>
      <c r="BQ47" s="29"/>
      <c r="BR47" s="29"/>
      <c r="BS47" s="24"/>
      <c r="BT47" s="24"/>
      <c r="BU47" s="29"/>
      <c r="BV47" s="29" t="s">
        <v>174</v>
      </c>
      <c r="BW47" s="24"/>
      <c r="BX47" s="66"/>
      <c r="BY47" s="67" t="s">
        <v>658</v>
      </c>
      <c r="BZ47" t="s">
        <v>77</v>
      </c>
    </row>
    <row r="48" spans="1:78" x14ac:dyDescent="0.15">
      <c r="A48" s="33"/>
      <c r="B48" s="26">
        <v>42657</v>
      </c>
      <c r="C48" s="27" t="s">
        <v>377</v>
      </c>
      <c r="D48" s="68" t="s">
        <v>454</v>
      </c>
      <c r="E48" s="24"/>
      <c r="F48" s="24" t="s">
        <v>417</v>
      </c>
      <c r="G48" s="28">
        <v>42551</v>
      </c>
      <c r="H48" s="29" t="s">
        <v>175</v>
      </c>
      <c r="I48" s="29" t="s">
        <v>174</v>
      </c>
      <c r="J48" s="29"/>
      <c r="K48" s="24" t="s">
        <v>305</v>
      </c>
      <c r="L48" s="24" t="s">
        <v>631</v>
      </c>
      <c r="M48" s="81">
        <v>77.427272727272722</v>
      </c>
      <c r="N48" s="81">
        <v>33.699999999999996</v>
      </c>
      <c r="O48" s="24"/>
      <c r="P48" s="25"/>
      <c r="Q48" s="81"/>
      <c r="R48" s="25"/>
      <c r="S48" s="81"/>
      <c r="T48" s="25"/>
      <c r="U48" s="24"/>
      <c r="V48" s="81"/>
      <c r="W48" s="81">
        <v>21.754545454545454</v>
      </c>
      <c r="X48" s="24"/>
      <c r="Y48" s="24"/>
      <c r="Z48" s="25"/>
      <c r="AA48" s="24"/>
      <c r="AB48" s="25"/>
      <c r="AC48" s="24"/>
      <c r="AD48" s="24"/>
      <c r="AE48" s="81"/>
      <c r="AF48" s="81"/>
      <c r="AG48" s="25"/>
      <c r="AH48" s="24"/>
      <c r="AI48" s="81"/>
      <c r="AJ48" s="24"/>
      <c r="AK48" s="24"/>
      <c r="AL48" s="24"/>
      <c r="AM48" s="24"/>
      <c r="AN48" s="81"/>
      <c r="AO48" s="24"/>
      <c r="AP48" s="81"/>
      <c r="AQ48" s="24" t="s">
        <v>418</v>
      </c>
      <c r="AR48" s="29" t="s">
        <v>174</v>
      </c>
      <c r="AS48" s="29"/>
      <c r="AT48" s="29"/>
      <c r="AU48" s="29" t="s">
        <v>382</v>
      </c>
      <c r="AV48" s="29">
        <v>12.4</v>
      </c>
      <c r="AW48" s="29"/>
      <c r="AX48" s="29"/>
      <c r="AY48" s="29"/>
      <c r="AZ48" s="29" t="s">
        <v>361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174</v>
      </c>
      <c r="BN48" s="29">
        <v>12</v>
      </c>
      <c r="BO48" s="29" t="s">
        <v>174</v>
      </c>
      <c r="BP48" s="29"/>
      <c r="BQ48" s="29"/>
      <c r="BR48" s="29"/>
      <c r="BS48" s="30"/>
      <c r="BT48" s="30"/>
      <c r="BU48" s="29"/>
      <c r="BV48" s="29" t="s">
        <v>174</v>
      </c>
      <c r="BW48" s="30"/>
      <c r="BX48" s="66"/>
      <c r="BY48" s="32" t="s">
        <v>659</v>
      </c>
      <c r="BZ48" t="s">
        <v>452</v>
      </c>
    </row>
    <row r="49" spans="1:78" x14ac:dyDescent="0.15">
      <c r="A49" s="33">
        <v>5943</v>
      </c>
      <c r="B49" s="26">
        <v>42657</v>
      </c>
      <c r="C49" s="27" t="s">
        <v>377</v>
      </c>
      <c r="D49" s="68" t="s">
        <v>454</v>
      </c>
      <c r="E49" s="24"/>
      <c r="F49" s="24" t="s">
        <v>417</v>
      </c>
      <c r="G49" s="28">
        <v>42606</v>
      </c>
      <c r="H49" s="29" t="s">
        <v>175</v>
      </c>
      <c r="I49" s="29" t="s">
        <v>174</v>
      </c>
      <c r="J49" s="29"/>
      <c r="K49" s="24" t="s">
        <v>306</v>
      </c>
      <c r="L49" s="24" t="s">
        <v>525</v>
      </c>
      <c r="M49" s="81">
        <v>87.1</v>
      </c>
      <c r="N49" s="81">
        <v>35.299999999999997</v>
      </c>
      <c r="O49" s="24"/>
      <c r="P49" s="25"/>
      <c r="Q49" s="81"/>
      <c r="R49" s="25"/>
      <c r="S49" s="81"/>
      <c r="T49" s="24"/>
      <c r="U49" s="24"/>
      <c r="V49" s="81"/>
      <c r="W49" s="81">
        <v>29.799999999999997</v>
      </c>
      <c r="X49" s="24"/>
      <c r="Y49" s="24"/>
      <c r="Z49" s="24"/>
      <c r="AA49" s="24"/>
      <c r="AB49" s="24"/>
      <c r="AC49" s="24"/>
      <c r="AD49" s="24"/>
      <c r="AE49" s="81"/>
      <c r="AF49" s="81"/>
      <c r="AG49" s="25"/>
      <c r="AH49" s="24"/>
      <c r="AI49" s="81"/>
      <c r="AJ49" s="24"/>
      <c r="AK49" s="24"/>
      <c r="AL49" s="24"/>
      <c r="AM49" s="24"/>
      <c r="AN49" s="81"/>
      <c r="AO49" s="24"/>
      <c r="AP49" s="81"/>
      <c r="AQ49" s="24" t="s">
        <v>418</v>
      </c>
      <c r="AR49" s="29" t="s">
        <v>174</v>
      </c>
      <c r="AS49" s="29"/>
      <c r="AT49" s="29"/>
      <c r="AU49" s="29" t="s">
        <v>382</v>
      </c>
      <c r="AV49" s="29">
        <v>11.5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29" t="s">
        <v>174</v>
      </c>
      <c r="BN49" s="29"/>
      <c r="BO49" s="29" t="s">
        <v>174</v>
      </c>
      <c r="BP49" s="29"/>
      <c r="BQ49" s="29"/>
      <c r="BR49" s="283"/>
      <c r="BS49" s="30"/>
      <c r="BT49" s="30"/>
      <c r="BU49" s="29"/>
      <c r="BV49" s="29" t="s">
        <v>174</v>
      </c>
      <c r="BW49" s="24"/>
      <c r="BY49" s="32" t="s">
        <v>614</v>
      </c>
      <c r="BZ49" t="s">
        <v>77</v>
      </c>
    </row>
    <row r="50" spans="1:78" x14ac:dyDescent="0.15">
      <c r="A50" s="33">
        <v>5634</v>
      </c>
      <c r="B50" s="26">
        <v>42657</v>
      </c>
      <c r="C50" s="27" t="s">
        <v>377</v>
      </c>
      <c r="D50" s="68" t="s">
        <v>454</v>
      </c>
      <c r="E50" s="24"/>
      <c r="F50" s="24" t="s">
        <v>417</v>
      </c>
      <c r="G50" s="28">
        <v>42551</v>
      </c>
      <c r="H50" s="29" t="s">
        <v>175</v>
      </c>
      <c r="I50" s="29" t="s">
        <v>174</v>
      </c>
      <c r="J50" s="29"/>
      <c r="K50" s="24" t="s">
        <v>495</v>
      </c>
      <c r="L50" s="24" t="s">
        <v>529</v>
      </c>
      <c r="M50" s="81">
        <v>120.68181818181817</v>
      </c>
      <c r="N50" s="81">
        <v>31.427272727272726</v>
      </c>
      <c r="O50" s="24"/>
      <c r="P50" s="25"/>
      <c r="Q50" s="81"/>
      <c r="R50" s="25"/>
      <c r="S50" s="81"/>
      <c r="T50" s="24"/>
      <c r="U50" s="24"/>
      <c r="V50" s="81"/>
      <c r="W50" s="81">
        <v>25.281818181818178</v>
      </c>
      <c r="X50" s="24"/>
      <c r="Y50" s="24"/>
      <c r="Z50" s="24"/>
      <c r="AA50" s="24"/>
      <c r="AB50" s="24"/>
      <c r="AC50" s="24"/>
      <c r="AD50" s="24"/>
      <c r="AE50" s="81"/>
      <c r="AF50" s="81"/>
      <c r="AG50" s="25"/>
      <c r="AH50" s="24"/>
      <c r="AI50" s="81"/>
      <c r="AJ50" s="24"/>
      <c r="AK50" s="24"/>
      <c r="AL50" s="24"/>
      <c r="AM50" s="24"/>
      <c r="AN50" s="81"/>
      <c r="AO50" s="24"/>
      <c r="AP50" s="81"/>
      <c r="AQ50" s="24" t="s">
        <v>418</v>
      </c>
      <c r="AR50" s="29" t="s">
        <v>174</v>
      </c>
      <c r="AS50" s="29"/>
      <c r="AT50" s="29"/>
      <c r="AU50" s="29" t="s">
        <v>382</v>
      </c>
      <c r="AV50" s="29">
        <v>7.5</v>
      </c>
      <c r="AW50" s="29"/>
      <c r="AX50" s="29"/>
      <c r="AY50" s="29"/>
      <c r="AZ50" s="29" t="s">
        <v>361</v>
      </c>
      <c r="BA50" s="24"/>
      <c r="BB50" s="29">
        <v>0</v>
      </c>
      <c r="BC50" s="29">
        <v>0</v>
      </c>
      <c r="BD50" s="29">
        <v>6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29" t="s">
        <v>174</v>
      </c>
      <c r="BN50" s="29"/>
      <c r="BO50" s="29" t="s">
        <v>174</v>
      </c>
      <c r="BP50" s="29"/>
      <c r="BQ50" s="29"/>
      <c r="BR50" s="29"/>
      <c r="BS50" s="24"/>
      <c r="BT50" s="24"/>
      <c r="BU50" s="29"/>
      <c r="BV50" s="29" t="s">
        <v>174</v>
      </c>
      <c r="BW50" s="24">
        <v>1</v>
      </c>
      <c r="BY50" s="67" t="s">
        <v>591</v>
      </c>
      <c r="BZ50" t="s">
        <v>77</v>
      </c>
    </row>
    <row r="51" spans="1:78" x14ac:dyDescent="0.15">
      <c r="A51" s="33">
        <v>6123</v>
      </c>
      <c r="B51" s="26">
        <v>42657</v>
      </c>
      <c r="C51" s="27" t="s">
        <v>377</v>
      </c>
      <c r="D51" s="68" t="s">
        <v>454</v>
      </c>
      <c r="E51" s="24"/>
      <c r="F51" s="24" t="s">
        <v>417</v>
      </c>
      <c r="G51" s="31">
        <v>42614</v>
      </c>
      <c r="H51" s="29" t="s">
        <v>175</v>
      </c>
      <c r="I51" s="29" t="s">
        <v>174</v>
      </c>
      <c r="J51" s="29"/>
      <c r="K51" s="24" t="s">
        <v>594</v>
      </c>
      <c r="L51" s="24" t="s">
        <v>595</v>
      </c>
      <c r="M51" s="81">
        <v>64.554545454545448</v>
      </c>
      <c r="N51" s="81">
        <v>28.18181818181818</v>
      </c>
      <c r="O51" s="24"/>
      <c r="P51" s="25"/>
      <c r="Q51" s="81"/>
      <c r="R51" s="25"/>
      <c r="S51" s="81"/>
      <c r="T51" s="25"/>
      <c r="U51" s="24"/>
      <c r="V51" s="81"/>
      <c r="W51" s="81">
        <v>19.09090909090909</v>
      </c>
      <c r="X51" s="25"/>
      <c r="Y51" s="24"/>
      <c r="Z51" s="25"/>
      <c r="AA51" s="24"/>
      <c r="AB51" s="25"/>
      <c r="AC51" s="24"/>
      <c r="AD51" s="24"/>
      <c r="AE51" s="81"/>
      <c r="AF51" s="81"/>
      <c r="AG51" s="25"/>
      <c r="AH51" s="24"/>
      <c r="AI51" s="81"/>
      <c r="AJ51" s="24"/>
      <c r="AK51" s="24"/>
      <c r="AL51" s="24"/>
      <c r="AM51" s="24"/>
      <c r="AN51" s="81"/>
      <c r="AO51" s="24"/>
      <c r="AP51" s="81"/>
      <c r="AQ51" s="24" t="s">
        <v>418</v>
      </c>
      <c r="AR51" s="29" t="s">
        <v>174</v>
      </c>
      <c r="AS51" s="29"/>
      <c r="AT51" s="29"/>
      <c r="AU51" s="29" t="s">
        <v>382</v>
      </c>
      <c r="AV51" s="29">
        <v>16</v>
      </c>
      <c r="AW51" s="29"/>
      <c r="AX51" s="29"/>
      <c r="AY51" s="29"/>
      <c r="AZ51" s="29" t="s">
        <v>361</v>
      </c>
      <c r="BA51" s="24"/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74" t="s">
        <v>174</v>
      </c>
      <c r="BN51" s="29"/>
      <c r="BO51" s="29" t="s">
        <v>174</v>
      </c>
      <c r="BP51" s="91">
        <v>218.07272727272721</v>
      </c>
      <c r="BQ51" s="29"/>
      <c r="BR51" s="283">
        <v>42915</v>
      </c>
      <c r="BS51" s="30"/>
      <c r="BT51" s="30"/>
      <c r="BU51" s="29"/>
      <c r="BV51" s="29" t="s">
        <v>174</v>
      </c>
      <c r="BW51" s="24"/>
      <c r="BX51" t="s">
        <v>636</v>
      </c>
      <c r="BY51" s="67" t="s">
        <v>660</v>
      </c>
      <c r="BZ51" t="s">
        <v>77</v>
      </c>
    </row>
    <row r="52" spans="1:78" x14ac:dyDescent="0.15">
      <c r="A52" s="33"/>
      <c r="B52" s="26">
        <v>42663</v>
      </c>
      <c r="C52" s="27" t="s">
        <v>377</v>
      </c>
      <c r="D52" s="68" t="s">
        <v>454</v>
      </c>
      <c r="E52" s="24"/>
      <c r="F52" s="24" t="s">
        <v>417</v>
      </c>
      <c r="G52" s="31">
        <v>42552</v>
      </c>
      <c r="H52" s="29" t="s">
        <v>175</v>
      </c>
      <c r="I52" s="29" t="s">
        <v>174</v>
      </c>
      <c r="J52" s="29"/>
      <c r="K52" s="68" t="s">
        <v>676</v>
      </c>
      <c r="L52" s="68" t="s">
        <v>677</v>
      </c>
      <c r="M52" s="81">
        <v>90</v>
      </c>
      <c r="N52" s="81">
        <v>40</v>
      </c>
      <c r="O52" s="24"/>
      <c r="P52" s="25"/>
      <c r="Q52" s="81"/>
      <c r="R52" s="25"/>
      <c r="S52" s="81"/>
      <c r="T52" s="25"/>
      <c r="U52" s="24"/>
      <c r="V52" s="81"/>
      <c r="W52" s="81">
        <v>24</v>
      </c>
      <c r="X52" s="25"/>
      <c r="Y52" s="24"/>
      <c r="Z52" s="25"/>
      <c r="AA52" s="24"/>
      <c r="AB52" s="25"/>
      <c r="AC52" s="24"/>
      <c r="AD52" s="24"/>
      <c r="AE52" s="81"/>
      <c r="AF52" s="81"/>
      <c r="AG52" s="25"/>
      <c r="AH52" s="24"/>
      <c r="AI52" s="81"/>
      <c r="AJ52" s="24"/>
      <c r="AK52" s="24"/>
      <c r="AL52" s="24"/>
      <c r="AM52" s="24"/>
      <c r="AN52" s="81"/>
      <c r="AO52" s="24"/>
      <c r="AP52" s="81"/>
      <c r="AQ52" s="24" t="s">
        <v>418</v>
      </c>
      <c r="AR52" s="29" t="s">
        <v>174</v>
      </c>
      <c r="AS52" s="29"/>
      <c r="AT52" s="29"/>
      <c r="AU52" s="29" t="s">
        <v>382</v>
      </c>
      <c r="AV52" s="29">
        <v>6</v>
      </c>
      <c r="AW52" s="29"/>
      <c r="AX52" s="29"/>
      <c r="AY52" s="29"/>
      <c r="AZ52" s="29" t="s">
        <v>361</v>
      </c>
      <c r="BA52" s="24"/>
      <c r="BB52" s="29">
        <v>0</v>
      </c>
      <c r="BC52" s="29">
        <v>15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74" t="s">
        <v>174</v>
      </c>
      <c r="BN52" s="29"/>
      <c r="BO52" s="29" t="s">
        <v>174</v>
      </c>
      <c r="BP52" s="96"/>
      <c r="BQ52" s="29"/>
      <c r="BR52" s="283"/>
      <c r="BS52" s="30"/>
      <c r="BT52" s="30"/>
      <c r="BU52" s="29"/>
      <c r="BV52" s="29" t="s">
        <v>174</v>
      </c>
      <c r="BW52" s="24"/>
      <c r="BX52" s="266" t="s">
        <v>679</v>
      </c>
      <c r="BY52" s="67" t="s">
        <v>681</v>
      </c>
      <c r="BZ52" s="66" t="s">
        <v>452</v>
      </c>
    </row>
    <row r="53" spans="1:78" x14ac:dyDescent="0.15">
      <c r="A53" s="33"/>
      <c r="B53" s="26">
        <v>42663</v>
      </c>
      <c r="C53" s="27" t="s">
        <v>377</v>
      </c>
      <c r="D53" s="68" t="s">
        <v>454</v>
      </c>
      <c r="E53" s="24"/>
      <c r="F53" s="24" t="s">
        <v>417</v>
      </c>
      <c r="G53" s="31">
        <v>42582</v>
      </c>
      <c r="H53" s="29" t="s">
        <v>175</v>
      </c>
      <c r="I53" s="29" t="s">
        <v>174</v>
      </c>
      <c r="J53" s="29"/>
      <c r="K53" s="68" t="s">
        <v>682</v>
      </c>
      <c r="L53" s="68" t="s">
        <v>683</v>
      </c>
      <c r="M53" s="81">
        <v>85.9</v>
      </c>
      <c r="N53" s="81">
        <v>29</v>
      </c>
      <c r="O53" s="24"/>
      <c r="P53" s="25"/>
      <c r="Q53" s="81"/>
      <c r="R53" s="25"/>
      <c r="S53" s="81"/>
      <c r="T53" s="25"/>
      <c r="U53" s="24"/>
      <c r="V53" s="81"/>
      <c r="W53" s="81">
        <v>19.5</v>
      </c>
      <c r="X53" s="25"/>
      <c r="Y53" s="24"/>
      <c r="Z53" s="25"/>
      <c r="AA53" s="24"/>
      <c r="AB53" s="25"/>
      <c r="AC53" s="24"/>
      <c r="AD53" s="24"/>
      <c r="AE53" s="81"/>
      <c r="AF53" s="81"/>
      <c r="AG53" s="25"/>
      <c r="AH53" s="24"/>
      <c r="AI53" s="81"/>
      <c r="AJ53" s="24"/>
      <c r="AK53" s="24"/>
      <c r="AL53" s="24"/>
      <c r="AM53" s="24"/>
      <c r="AN53" s="81"/>
      <c r="AO53" s="24"/>
      <c r="AP53" s="81"/>
      <c r="AQ53" s="24" t="s">
        <v>418</v>
      </c>
      <c r="AR53" s="29" t="s">
        <v>174</v>
      </c>
      <c r="AS53" s="29"/>
      <c r="AT53" s="29"/>
      <c r="AU53" s="29" t="s">
        <v>382</v>
      </c>
      <c r="AV53" s="29">
        <v>10</v>
      </c>
      <c r="AW53" s="29"/>
      <c r="AX53" s="29"/>
      <c r="AY53" s="29"/>
      <c r="AZ53" s="74" t="s">
        <v>174</v>
      </c>
      <c r="BA53" s="24"/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/>
      <c r="BM53" s="74" t="s">
        <v>174</v>
      </c>
      <c r="BN53" s="29"/>
      <c r="BO53" s="29" t="s">
        <v>174</v>
      </c>
      <c r="BP53" s="96"/>
      <c r="BQ53" s="29"/>
      <c r="BR53" s="283"/>
      <c r="BS53" s="30"/>
      <c r="BT53" s="30"/>
      <c r="BU53" s="29"/>
      <c r="BV53" s="29" t="s">
        <v>174</v>
      </c>
      <c r="BW53" s="24"/>
      <c r="BX53" s="266"/>
      <c r="BY53" s="67" t="s">
        <v>685</v>
      </c>
      <c r="BZ53" s="66" t="s">
        <v>452</v>
      </c>
    </row>
    <row r="54" spans="1:78" x14ac:dyDescent="0.15">
      <c r="A54" s="33"/>
      <c r="B54" s="26">
        <v>42663</v>
      </c>
      <c r="C54" s="27" t="s">
        <v>377</v>
      </c>
      <c r="D54" s="68" t="s">
        <v>454</v>
      </c>
      <c r="E54" s="24"/>
      <c r="F54" s="24" t="s">
        <v>417</v>
      </c>
      <c r="G54" s="31">
        <v>42593</v>
      </c>
      <c r="H54" s="29" t="s">
        <v>175</v>
      </c>
      <c r="I54" s="29" t="s">
        <v>174</v>
      </c>
      <c r="J54" s="29"/>
      <c r="K54" s="68" t="s">
        <v>686</v>
      </c>
      <c r="L54" s="68" t="s">
        <v>687</v>
      </c>
      <c r="M54" s="81">
        <v>80</v>
      </c>
      <c r="N54" s="81">
        <v>46.718181818181812</v>
      </c>
      <c r="O54" s="24"/>
      <c r="P54" s="25"/>
      <c r="Q54" s="81"/>
      <c r="R54" s="25"/>
      <c r="S54" s="81"/>
      <c r="T54" s="25"/>
      <c r="U54" s="24"/>
      <c r="V54" s="81"/>
      <c r="W54" s="81">
        <v>37.11818181818181</v>
      </c>
      <c r="X54" s="25"/>
      <c r="Y54" s="24"/>
      <c r="Z54" s="25"/>
      <c r="AA54" s="24"/>
      <c r="AB54" s="25"/>
      <c r="AC54" s="24"/>
      <c r="AD54" s="24"/>
      <c r="AE54" s="81"/>
      <c r="AF54" s="81"/>
      <c r="AG54" s="25"/>
      <c r="AH54" s="24"/>
      <c r="AI54" s="81"/>
      <c r="AJ54" s="24"/>
      <c r="AK54" s="24"/>
      <c r="AL54" s="24"/>
      <c r="AM54" s="24"/>
      <c r="AN54" s="81"/>
      <c r="AO54" s="24"/>
      <c r="AP54" s="81"/>
      <c r="AQ54" s="24" t="s">
        <v>418</v>
      </c>
      <c r="AR54" s="29" t="s">
        <v>174</v>
      </c>
      <c r="AS54" s="29"/>
      <c r="AT54" s="29"/>
      <c r="AU54" s="29" t="s">
        <v>382</v>
      </c>
      <c r="AV54" s="29">
        <v>8</v>
      </c>
      <c r="AW54" s="29"/>
      <c r="AX54" s="29"/>
      <c r="AY54" s="29"/>
      <c r="AZ54" s="74" t="s">
        <v>174</v>
      </c>
      <c r="BA54" s="24"/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/>
      <c r="BM54" s="74" t="s">
        <v>174</v>
      </c>
      <c r="BN54" s="29"/>
      <c r="BO54" s="29" t="s">
        <v>174</v>
      </c>
      <c r="BP54" s="96"/>
      <c r="BQ54" s="29"/>
      <c r="BR54" s="283"/>
      <c r="BS54" s="30"/>
      <c r="BT54" s="30"/>
      <c r="BU54" s="29"/>
      <c r="BV54" s="29" t="s">
        <v>174</v>
      </c>
      <c r="BW54" s="24"/>
      <c r="BX54" s="266" t="s">
        <v>690</v>
      </c>
      <c r="BY54" s="67" t="s">
        <v>689</v>
      </c>
      <c r="BZ54" s="66" t="s">
        <v>452</v>
      </c>
    </row>
  </sheetData>
  <sheetProtection algorithmName="SHA-512" hashValue="Ui7ecpb3F4+QlKzPwcEE9S4tbXaeXlGPNAT1DK1q7RyyJBSVtbXmq92O0Vpm/wrmvZQu2tF5ecciGg15dtZCtQ==" saltValue="/xcGDq6MMZXv1nlUJv6MQw==" spinCount="100000" sheet="1" objects="1" scenarios="1"/>
  <hyperlinks>
    <hyperlink ref="BY18" r:id="rId1" display="https://www.energymadeeasy.gov.au/offer/1072864?postcode=5000" xr:uid="{D1160C69-3360-CA45-B786-4944E8DECAA9}"/>
  </hyperlinks>
  <pageMargins left="0.75" right="0.75" top="1" bottom="1" header="0.5" footer="0.5"/>
  <pageSetup paperSize="9" orientation="portrait" horizontalDpi="0" verticalDpi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D46FB-6A28-8F49-BD6E-C0C9C813F6A0}">
  <sheetPr codeName="Sheet10"/>
  <dimension ref="A1:BZ53"/>
  <sheetViews>
    <sheetView topLeftCell="AY1" zoomScaleNormal="100" zoomScalePageLayoutView="125" workbookViewId="0">
      <selection activeCell="BP2" sqref="BP2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89" t="s">
        <v>263</v>
      </c>
      <c r="N1" s="90" t="s">
        <v>266</v>
      </c>
      <c r="O1" s="7" t="s">
        <v>267</v>
      </c>
      <c r="P1" s="7" t="s">
        <v>268</v>
      </c>
      <c r="Q1" s="90" t="s">
        <v>269</v>
      </c>
      <c r="R1" s="7" t="s">
        <v>221</v>
      </c>
      <c r="S1" s="90" t="s">
        <v>308</v>
      </c>
      <c r="T1" s="7" t="s">
        <v>309</v>
      </c>
      <c r="U1" s="7" t="s">
        <v>310</v>
      </c>
      <c r="V1" s="8" t="s">
        <v>264</v>
      </c>
      <c r="W1" s="92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93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540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2" t="s">
        <v>188</v>
      </c>
    </row>
    <row r="2" spans="1:78" x14ac:dyDescent="0.15">
      <c r="A2" s="33">
        <v>6074</v>
      </c>
      <c r="B2" s="26">
        <v>42468</v>
      </c>
      <c r="C2" s="27" t="s">
        <v>377</v>
      </c>
      <c r="D2" s="68" t="s">
        <v>454</v>
      </c>
      <c r="E2" s="24"/>
      <c r="F2" s="24" t="s">
        <v>379</v>
      </c>
      <c r="G2" s="28">
        <v>42433</v>
      </c>
      <c r="H2" s="29" t="s">
        <v>175</v>
      </c>
      <c r="I2" s="29" t="s">
        <v>174</v>
      </c>
      <c r="J2" s="29"/>
      <c r="K2" s="24" t="s">
        <v>296</v>
      </c>
      <c r="L2" s="24" t="s">
        <v>582</v>
      </c>
      <c r="M2" s="81">
        <v>76.536363636363632</v>
      </c>
      <c r="N2" s="81">
        <v>34.236363636363627</v>
      </c>
      <c r="O2" s="24"/>
      <c r="P2" s="25"/>
      <c r="Q2" s="81"/>
      <c r="R2" s="25"/>
      <c r="S2" s="81"/>
      <c r="T2" s="25"/>
      <c r="U2" s="24"/>
      <c r="V2" s="24"/>
      <c r="W2" s="81"/>
      <c r="X2" s="24"/>
      <c r="Y2" s="24"/>
      <c r="Z2" s="24"/>
      <c r="AA2" s="24"/>
      <c r="AB2" s="25"/>
      <c r="AC2" s="24"/>
      <c r="AD2" s="24"/>
      <c r="AE2" s="24"/>
      <c r="AF2" s="81"/>
      <c r="AG2" s="25"/>
      <c r="AH2" s="24"/>
      <c r="AI2" s="24"/>
      <c r="AJ2" s="24"/>
      <c r="AK2" s="24"/>
      <c r="AL2" s="24"/>
      <c r="AM2" s="24"/>
      <c r="AN2" s="24"/>
      <c r="AO2" s="24"/>
      <c r="AP2" s="24">
        <v>0</v>
      </c>
      <c r="AQ2" s="24" t="s">
        <v>381</v>
      </c>
      <c r="AR2" s="29" t="s">
        <v>174</v>
      </c>
      <c r="AS2" s="29"/>
      <c r="AT2" s="29"/>
      <c r="AU2" s="29" t="s">
        <v>382</v>
      </c>
      <c r="AV2" s="29">
        <v>14.2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/>
      <c r="BO2" s="29" t="s">
        <v>174</v>
      </c>
      <c r="BP2" s="29"/>
      <c r="BQ2" s="29"/>
      <c r="BR2" s="283"/>
      <c r="BS2" s="30"/>
      <c r="BT2" s="30"/>
      <c r="BU2" s="29"/>
      <c r="BV2" s="29" t="s">
        <v>174</v>
      </c>
      <c r="BW2" s="24"/>
      <c r="BX2" s="66"/>
      <c r="BY2" s="67" t="s">
        <v>76</v>
      </c>
      <c r="BZ2" t="s">
        <v>77</v>
      </c>
    </row>
    <row r="3" spans="1:78" x14ac:dyDescent="0.15">
      <c r="A3" s="33">
        <v>5549</v>
      </c>
      <c r="B3" s="26">
        <v>42468</v>
      </c>
      <c r="C3" s="27" t="s">
        <v>377</v>
      </c>
      <c r="D3" s="68" t="s">
        <v>454</v>
      </c>
      <c r="E3" s="24"/>
      <c r="F3" s="24" t="s">
        <v>379</v>
      </c>
      <c r="G3" s="31">
        <v>42262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/>
      <c r="P3" s="25"/>
      <c r="Q3" s="81"/>
      <c r="R3" s="25"/>
      <c r="S3" s="81"/>
      <c r="T3" s="25"/>
      <c r="U3" s="24"/>
      <c r="V3" s="24"/>
      <c r="W3" s="81"/>
      <c r="X3" s="24"/>
      <c r="Y3" s="24"/>
      <c r="Z3" s="24"/>
      <c r="AA3" s="24"/>
      <c r="AB3" s="24"/>
      <c r="AC3" s="24"/>
      <c r="AD3" s="24"/>
      <c r="AE3" s="24"/>
      <c r="AF3" s="81"/>
      <c r="AG3" s="25"/>
      <c r="AH3" s="24"/>
      <c r="AI3" s="24"/>
      <c r="AJ3" s="24"/>
      <c r="AK3" s="24"/>
      <c r="AL3" s="24"/>
      <c r="AM3" s="24"/>
      <c r="AN3" s="24"/>
      <c r="AO3" s="24"/>
      <c r="AP3" s="24">
        <v>0</v>
      </c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83"/>
      <c r="BS3" s="24"/>
      <c r="BT3" s="24"/>
      <c r="BU3" s="29"/>
      <c r="BV3" s="29" t="s">
        <v>174</v>
      </c>
      <c r="BW3" s="68">
        <v>1</v>
      </c>
      <c r="BX3" s="66"/>
      <c r="BY3" s="67" t="s">
        <v>76</v>
      </c>
      <c r="BZ3" t="s">
        <v>77</v>
      </c>
    </row>
    <row r="4" spans="1:78" x14ac:dyDescent="0.15">
      <c r="A4" s="33">
        <v>5588</v>
      </c>
      <c r="B4" s="26">
        <v>42475</v>
      </c>
      <c r="C4" s="27" t="s">
        <v>377</v>
      </c>
      <c r="D4" s="68" t="s">
        <v>454</v>
      </c>
      <c r="E4" s="24"/>
      <c r="F4" s="24" t="s">
        <v>379</v>
      </c>
      <c r="G4" s="28">
        <v>42474</v>
      </c>
      <c r="H4" s="29" t="s">
        <v>175</v>
      </c>
      <c r="I4" s="29" t="s">
        <v>174</v>
      </c>
      <c r="J4" s="29"/>
      <c r="K4" s="24" t="s">
        <v>298</v>
      </c>
      <c r="L4" s="68" t="s">
        <v>512</v>
      </c>
      <c r="M4" s="81">
        <v>70.86363636363636</v>
      </c>
      <c r="N4" s="81">
        <v>34.354545454545452</v>
      </c>
      <c r="O4" s="24"/>
      <c r="P4" s="24"/>
      <c r="Q4" s="81"/>
      <c r="R4" s="24"/>
      <c r="S4" s="81"/>
      <c r="T4" s="24"/>
      <c r="U4" s="24"/>
      <c r="V4" s="24"/>
      <c r="W4" s="81"/>
      <c r="X4" s="24"/>
      <c r="Y4" s="24"/>
      <c r="Z4" s="24"/>
      <c r="AA4" s="24"/>
      <c r="AB4" s="24"/>
      <c r="AC4" s="24"/>
      <c r="AD4" s="24"/>
      <c r="AE4" s="24"/>
      <c r="AF4" s="81"/>
      <c r="AG4" s="24"/>
      <c r="AH4" s="24"/>
      <c r="AI4" s="24"/>
      <c r="AJ4" s="24"/>
      <c r="AK4" s="24"/>
      <c r="AL4" s="24"/>
      <c r="AM4" s="24"/>
      <c r="AN4" s="24"/>
      <c r="AO4" s="24"/>
      <c r="AP4" s="24">
        <v>0</v>
      </c>
      <c r="AQ4" s="24" t="s">
        <v>381</v>
      </c>
      <c r="AR4" s="29" t="s">
        <v>174</v>
      </c>
      <c r="AS4" s="29"/>
      <c r="AT4" s="29"/>
      <c r="AU4" s="29" t="s">
        <v>382</v>
      </c>
      <c r="AV4" s="29">
        <v>14</v>
      </c>
      <c r="AW4" s="29"/>
      <c r="AX4" s="29"/>
      <c r="AY4" s="29"/>
      <c r="AZ4" s="29" t="s">
        <v>174</v>
      </c>
      <c r="BA4" s="24"/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83"/>
      <c r="BS4" s="30"/>
      <c r="BT4" s="30"/>
      <c r="BU4" s="29"/>
      <c r="BV4" s="29" t="s">
        <v>174</v>
      </c>
      <c r="BW4" s="24">
        <v>1</v>
      </c>
      <c r="BX4" s="66"/>
      <c r="BY4" s="32" t="s">
        <v>583</v>
      </c>
      <c r="BZ4" t="s">
        <v>39</v>
      </c>
    </row>
    <row r="5" spans="1:78" x14ac:dyDescent="0.15">
      <c r="A5" s="33">
        <v>242</v>
      </c>
      <c r="B5" s="26">
        <v>42475</v>
      </c>
      <c r="C5" s="27" t="s">
        <v>377</v>
      </c>
      <c r="D5" s="68" t="s">
        <v>454</v>
      </c>
      <c r="E5" s="24"/>
      <c r="F5" s="24" t="s">
        <v>379</v>
      </c>
      <c r="G5" s="28">
        <v>42474</v>
      </c>
      <c r="H5" s="29" t="s">
        <v>175</v>
      </c>
      <c r="I5" s="29" t="s">
        <v>174</v>
      </c>
      <c r="J5" s="29"/>
      <c r="K5" s="24" t="s">
        <v>299</v>
      </c>
      <c r="L5" s="24" t="s">
        <v>446</v>
      </c>
      <c r="M5" s="81">
        <v>95.663636363636357</v>
      </c>
      <c r="N5" s="81">
        <v>33.754545454545458</v>
      </c>
      <c r="O5" s="24"/>
      <c r="P5" s="25"/>
      <c r="Q5" s="81"/>
      <c r="R5" s="25"/>
      <c r="S5" s="81"/>
      <c r="T5" s="24"/>
      <c r="U5" s="24"/>
      <c r="V5" s="24"/>
      <c r="W5" s="81"/>
      <c r="X5" s="24"/>
      <c r="Y5" s="24"/>
      <c r="Z5" s="24"/>
      <c r="AA5" s="24"/>
      <c r="AB5" s="24"/>
      <c r="AC5" s="24"/>
      <c r="AD5" s="24"/>
      <c r="AE5" s="24"/>
      <c r="AF5" s="81"/>
      <c r="AG5" s="25"/>
      <c r="AH5" s="24"/>
      <c r="AI5" s="24"/>
      <c r="AJ5" s="24"/>
      <c r="AK5" s="24"/>
      <c r="AL5" s="24"/>
      <c r="AM5" s="24"/>
      <c r="AN5" s="24"/>
      <c r="AO5" s="24"/>
      <c r="AP5" s="24">
        <v>0</v>
      </c>
      <c r="AQ5" s="24" t="s">
        <v>381</v>
      </c>
      <c r="AR5" s="29" t="s">
        <v>174</v>
      </c>
      <c r="AS5" s="29"/>
      <c r="AT5" s="29"/>
      <c r="AU5" s="29" t="s">
        <v>382</v>
      </c>
      <c r="AV5" s="29">
        <v>11.6</v>
      </c>
      <c r="AW5" s="29"/>
      <c r="AX5" s="29"/>
      <c r="AY5" s="29"/>
      <c r="AZ5" s="29" t="s">
        <v>174</v>
      </c>
      <c r="BA5" s="24"/>
      <c r="BB5" s="29">
        <v>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/>
      <c r="BO5" s="29" t="s">
        <v>174</v>
      </c>
      <c r="BP5" s="29"/>
      <c r="BQ5" s="29"/>
      <c r="BR5" s="283"/>
      <c r="BS5" s="30"/>
      <c r="BT5" s="24"/>
      <c r="BU5" s="29"/>
      <c r="BV5" s="29" t="s">
        <v>174</v>
      </c>
      <c r="BW5" s="24"/>
      <c r="BY5" s="32" t="s">
        <v>584</v>
      </c>
      <c r="BZ5" t="s">
        <v>39</v>
      </c>
    </row>
    <row r="6" spans="1:78" x14ac:dyDescent="0.15">
      <c r="A6" s="33">
        <v>5770</v>
      </c>
      <c r="B6" s="26">
        <v>42475</v>
      </c>
      <c r="C6" s="27" t="s">
        <v>377</v>
      </c>
      <c r="D6" s="68" t="s">
        <v>454</v>
      </c>
      <c r="E6" s="24"/>
      <c r="F6" s="24" t="s">
        <v>379</v>
      </c>
      <c r="G6" s="28">
        <v>42247</v>
      </c>
      <c r="H6" s="29" t="s">
        <v>175</v>
      </c>
      <c r="I6" s="29" t="s">
        <v>174</v>
      </c>
      <c r="J6" s="29"/>
      <c r="K6" s="24" t="s">
        <v>300</v>
      </c>
      <c r="L6" s="24" t="s">
        <v>517</v>
      </c>
      <c r="M6" s="81">
        <v>99.5</v>
      </c>
      <c r="N6" s="81">
        <v>37.554545454545455</v>
      </c>
      <c r="O6" s="24" t="s">
        <v>518</v>
      </c>
      <c r="P6" s="25">
        <v>1000</v>
      </c>
      <c r="Q6" s="81">
        <v>39.954545454545453</v>
      </c>
      <c r="R6" s="25"/>
      <c r="S6" s="81"/>
      <c r="T6" s="25"/>
      <c r="U6" s="24"/>
      <c r="V6" s="24"/>
      <c r="W6" s="81"/>
      <c r="X6" s="24"/>
      <c r="Y6" s="24"/>
      <c r="Z6" s="24"/>
      <c r="AA6" s="24"/>
      <c r="AB6" s="24"/>
      <c r="AC6" s="24"/>
      <c r="AD6" s="24"/>
      <c r="AE6" s="24"/>
      <c r="AF6" s="81"/>
      <c r="AG6" s="25"/>
      <c r="AH6" s="24"/>
      <c r="AI6" s="24"/>
      <c r="AJ6" s="24"/>
      <c r="AK6" s="24"/>
      <c r="AL6" s="24"/>
      <c r="AM6" s="24"/>
      <c r="AN6" s="24"/>
      <c r="AO6" s="24"/>
      <c r="AP6" s="24">
        <v>0</v>
      </c>
      <c r="AQ6" s="24" t="s">
        <v>381</v>
      </c>
      <c r="AR6" s="29" t="s">
        <v>174</v>
      </c>
      <c r="AS6" s="29"/>
      <c r="AT6" s="29"/>
      <c r="AU6" s="29" t="s">
        <v>382</v>
      </c>
      <c r="AV6" s="29">
        <v>12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83"/>
      <c r="BS6" s="24"/>
      <c r="BT6" s="24"/>
      <c r="BU6" s="29"/>
      <c r="BV6" s="29" t="s">
        <v>174</v>
      </c>
      <c r="BW6" s="24"/>
      <c r="BY6" s="32" t="s">
        <v>519</v>
      </c>
      <c r="BZ6" t="s">
        <v>77</v>
      </c>
    </row>
    <row r="7" spans="1:78" x14ac:dyDescent="0.15">
      <c r="A7" s="33">
        <v>5268</v>
      </c>
      <c r="B7" s="26">
        <v>42480</v>
      </c>
      <c r="C7" s="27" t="s">
        <v>377</v>
      </c>
      <c r="D7" s="68" t="s">
        <v>454</v>
      </c>
      <c r="E7" s="24"/>
      <c r="F7" s="24" t="s">
        <v>379</v>
      </c>
      <c r="G7" s="28">
        <v>42474</v>
      </c>
      <c r="H7" s="29" t="s">
        <v>175</v>
      </c>
      <c r="I7" s="29" t="s">
        <v>174</v>
      </c>
      <c r="J7" s="29"/>
      <c r="K7" s="24" t="s">
        <v>301</v>
      </c>
      <c r="L7" s="24" t="s">
        <v>520</v>
      </c>
      <c r="M7" s="81">
        <v>97.999999999999986</v>
      </c>
      <c r="N7" s="81">
        <v>39.663636363636364</v>
      </c>
      <c r="O7" s="24"/>
      <c r="P7" s="25"/>
      <c r="Q7" s="81"/>
      <c r="R7" s="25"/>
      <c r="S7" s="81"/>
      <c r="T7" s="25"/>
      <c r="U7" s="24"/>
      <c r="V7" s="24"/>
      <c r="W7" s="81"/>
      <c r="X7" s="25"/>
      <c r="Y7" s="24"/>
      <c r="Z7" s="25"/>
      <c r="AA7" s="24"/>
      <c r="AB7" s="25"/>
      <c r="AC7" s="24"/>
      <c r="AD7" s="24"/>
      <c r="AE7" s="24"/>
      <c r="AF7" s="81"/>
      <c r="AG7" s="25"/>
      <c r="AH7" s="24"/>
      <c r="AI7" s="24"/>
      <c r="AJ7" s="24"/>
      <c r="AK7" s="24"/>
      <c r="AL7" s="24"/>
      <c r="AM7" s="24"/>
      <c r="AN7" s="24"/>
      <c r="AO7" s="24"/>
      <c r="AP7" s="24">
        <v>0</v>
      </c>
      <c r="AQ7" s="24" t="s">
        <v>381</v>
      </c>
      <c r="AR7" s="29" t="s">
        <v>174</v>
      </c>
      <c r="AS7" s="29"/>
      <c r="AT7" s="29"/>
      <c r="AU7" s="29" t="s">
        <v>382</v>
      </c>
      <c r="AV7" s="29">
        <v>12.65</v>
      </c>
      <c r="AW7" s="29"/>
      <c r="AX7" s="29"/>
      <c r="AY7" s="29"/>
      <c r="AZ7" s="29" t="s">
        <v>361</v>
      </c>
      <c r="BA7" s="24"/>
      <c r="BB7" s="29">
        <v>5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>
        <v>12</v>
      </c>
      <c r="BO7" s="29" t="s">
        <v>174</v>
      </c>
      <c r="BP7" s="29"/>
      <c r="BQ7" s="29"/>
      <c r="BR7" s="283"/>
      <c r="BS7" s="24"/>
      <c r="BT7" s="24"/>
      <c r="BU7" s="29"/>
      <c r="BV7" s="29" t="s">
        <v>174</v>
      </c>
      <c r="BW7" s="24"/>
      <c r="BX7" s="66"/>
      <c r="BY7" s="67" t="s">
        <v>76</v>
      </c>
      <c r="BZ7" t="s">
        <v>39</v>
      </c>
    </row>
    <row r="8" spans="1:78" x14ac:dyDescent="0.15">
      <c r="A8" s="33">
        <v>4783</v>
      </c>
      <c r="B8" s="26">
        <v>42475</v>
      </c>
      <c r="C8" s="27" t="s">
        <v>377</v>
      </c>
      <c r="D8" s="68" t="s">
        <v>454</v>
      </c>
      <c r="E8" s="24"/>
      <c r="F8" s="24" t="s">
        <v>379</v>
      </c>
      <c r="G8" s="28">
        <v>42474</v>
      </c>
      <c r="H8" s="29" t="s">
        <v>175</v>
      </c>
      <c r="I8" s="29" t="s">
        <v>174</v>
      </c>
      <c r="J8" s="29"/>
      <c r="K8" s="24" t="s">
        <v>302</v>
      </c>
      <c r="L8" s="24" t="s">
        <v>521</v>
      </c>
      <c r="M8" s="81">
        <v>86.018181818181816</v>
      </c>
      <c r="N8" s="81">
        <v>33.890909090909091</v>
      </c>
      <c r="O8" s="24"/>
      <c r="P8" s="25"/>
      <c r="Q8" s="81"/>
      <c r="R8" s="25"/>
      <c r="S8" s="81"/>
      <c r="T8" s="25"/>
      <c r="U8" s="24"/>
      <c r="V8" s="24"/>
      <c r="W8" s="81"/>
      <c r="X8" s="25"/>
      <c r="Y8" s="24"/>
      <c r="Z8" s="25"/>
      <c r="AA8" s="24"/>
      <c r="AB8" s="25"/>
      <c r="AC8" s="24"/>
      <c r="AD8" s="24"/>
      <c r="AE8" s="24"/>
      <c r="AF8" s="81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381</v>
      </c>
      <c r="AR8" s="29" t="s">
        <v>174</v>
      </c>
      <c r="AS8" s="29"/>
      <c r="AT8" s="29"/>
      <c r="AU8" s="29" t="s">
        <v>382</v>
      </c>
      <c r="AV8" s="29">
        <v>15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/>
      <c r="BO8" s="29" t="s">
        <v>174</v>
      </c>
      <c r="BP8" s="29"/>
      <c r="BQ8" s="29"/>
      <c r="BR8" s="283"/>
      <c r="BS8" s="24"/>
      <c r="BT8" s="24"/>
      <c r="BU8" s="29"/>
      <c r="BV8" s="29" t="s">
        <v>174</v>
      </c>
      <c r="BW8" s="24"/>
      <c r="BX8" s="66"/>
      <c r="BY8" s="67" t="s">
        <v>618</v>
      </c>
      <c r="BZ8" t="s">
        <v>39</v>
      </c>
    </row>
    <row r="9" spans="1:78" x14ac:dyDescent="0.15">
      <c r="A9" s="33">
        <v>931</v>
      </c>
      <c r="B9" s="26">
        <v>42475</v>
      </c>
      <c r="C9" s="27" t="s">
        <v>377</v>
      </c>
      <c r="D9" s="68" t="s">
        <v>454</v>
      </c>
      <c r="E9" s="24"/>
      <c r="F9" s="24" t="s">
        <v>379</v>
      </c>
      <c r="G9" s="28">
        <v>42475</v>
      </c>
      <c r="H9" s="29" t="s">
        <v>175</v>
      </c>
      <c r="I9" s="29" t="s">
        <v>174</v>
      </c>
      <c r="J9" s="29"/>
      <c r="K9" s="24" t="s">
        <v>303</v>
      </c>
      <c r="L9" s="24" t="s">
        <v>522</v>
      </c>
      <c r="M9" s="81">
        <v>95.881818181818176</v>
      </c>
      <c r="N9" s="81">
        <v>32.018181818181816</v>
      </c>
      <c r="O9" s="24"/>
      <c r="P9" s="25"/>
      <c r="Q9" s="81"/>
      <c r="R9" s="25"/>
      <c r="S9" s="81"/>
      <c r="T9" s="25"/>
      <c r="U9" s="24"/>
      <c r="V9" s="24"/>
      <c r="W9" s="81"/>
      <c r="X9" s="24"/>
      <c r="Y9" s="24"/>
      <c r="Z9" s="24"/>
      <c r="AA9" s="24"/>
      <c r="AB9" s="24"/>
      <c r="AC9" s="24"/>
      <c r="AD9" s="24"/>
      <c r="AE9" s="24"/>
      <c r="AF9" s="81"/>
      <c r="AG9" s="25"/>
      <c r="AH9" s="24"/>
      <c r="AI9" s="24"/>
      <c r="AJ9" s="24"/>
      <c r="AK9" s="24"/>
      <c r="AL9" s="24"/>
      <c r="AM9" s="24"/>
      <c r="AN9" s="24"/>
      <c r="AO9" s="24"/>
      <c r="AP9" s="24">
        <v>0</v>
      </c>
      <c r="AQ9" s="24" t="s">
        <v>381</v>
      </c>
      <c r="AR9" s="29" t="s">
        <v>174</v>
      </c>
      <c r="AS9" s="29"/>
      <c r="AT9" s="29"/>
      <c r="AU9" s="29" t="s">
        <v>382</v>
      </c>
      <c r="AV9" s="29">
        <v>6.8</v>
      </c>
      <c r="AW9" s="29"/>
      <c r="AX9" s="29"/>
      <c r="AY9" s="29"/>
      <c r="AZ9" s="29" t="s">
        <v>174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/>
      <c r="BO9" s="29" t="s">
        <v>174</v>
      </c>
      <c r="BP9" s="29"/>
      <c r="BQ9" s="29"/>
      <c r="BR9" s="283"/>
      <c r="BS9" s="24"/>
      <c r="BT9" s="24"/>
      <c r="BU9" s="29"/>
      <c r="BV9" s="29" t="s">
        <v>174</v>
      </c>
      <c r="BW9" s="24"/>
      <c r="BY9" s="32" t="s">
        <v>585</v>
      </c>
      <c r="BZ9" t="s">
        <v>39</v>
      </c>
    </row>
    <row r="10" spans="1:78" x14ac:dyDescent="0.15">
      <c r="A10" s="33">
        <v>5408</v>
      </c>
      <c r="B10" s="26">
        <v>42475</v>
      </c>
      <c r="C10" s="27" t="s">
        <v>377</v>
      </c>
      <c r="D10" s="68" t="s">
        <v>454</v>
      </c>
      <c r="E10" s="24"/>
      <c r="F10" s="24" t="s">
        <v>379</v>
      </c>
      <c r="G10" s="26">
        <v>42474</v>
      </c>
      <c r="H10" s="29" t="s">
        <v>175</v>
      </c>
      <c r="I10" s="29" t="s">
        <v>174</v>
      </c>
      <c r="J10" s="29"/>
      <c r="K10" s="24" t="s">
        <v>304</v>
      </c>
      <c r="L10" s="24" t="s">
        <v>523</v>
      </c>
      <c r="M10" s="81">
        <v>90.109090909090909</v>
      </c>
      <c r="N10" s="81">
        <v>39.809090909090905</v>
      </c>
      <c r="O10" s="24"/>
      <c r="P10" s="25"/>
      <c r="Q10" s="81"/>
      <c r="R10" s="25"/>
      <c r="S10" s="81"/>
      <c r="T10" s="24"/>
      <c r="U10" s="24"/>
      <c r="V10" s="24"/>
      <c r="W10" s="81"/>
      <c r="X10" s="24"/>
      <c r="Y10" s="24"/>
      <c r="Z10" s="24"/>
      <c r="AA10" s="24"/>
      <c r="AB10" s="24"/>
      <c r="AC10" s="24"/>
      <c r="AD10" s="24"/>
      <c r="AE10" s="24"/>
      <c r="AF10" s="81"/>
      <c r="AG10" s="25"/>
      <c r="AH10" s="24"/>
      <c r="AI10" s="24"/>
      <c r="AJ10" s="24"/>
      <c r="AK10" s="24"/>
      <c r="AL10" s="24"/>
      <c r="AM10" s="24"/>
      <c r="AN10" s="24"/>
      <c r="AO10" s="24"/>
      <c r="AP10" s="24">
        <v>0</v>
      </c>
      <c r="AQ10" s="24" t="s">
        <v>381</v>
      </c>
      <c r="AR10" s="29" t="s">
        <v>174</v>
      </c>
      <c r="AS10" s="29"/>
      <c r="AT10" s="29"/>
      <c r="AU10" s="29" t="s">
        <v>382</v>
      </c>
      <c r="AV10" s="29">
        <v>10</v>
      </c>
      <c r="AW10" s="29"/>
      <c r="AX10" s="29"/>
      <c r="AY10" s="29"/>
      <c r="AZ10" s="29" t="s">
        <v>361</v>
      </c>
      <c r="BA10" s="24"/>
      <c r="BB10" s="29">
        <v>14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>
        <v>12</v>
      </c>
      <c r="BM10" s="29" t="s">
        <v>175</v>
      </c>
      <c r="BN10" s="29">
        <v>12</v>
      </c>
      <c r="BO10" s="29" t="s">
        <v>174</v>
      </c>
      <c r="BP10" s="29"/>
      <c r="BQ10" s="29"/>
      <c r="BR10" s="283"/>
      <c r="BS10" s="24"/>
      <c r="BT10" s="24"/>
      <c r="BU10" s="29"/>
      <c r="BV10" s="29" t="s">
        <v>174</v>
      </c>
      <c r="BW10" s="24"/>
      <c r="BX10" s="66"/>
      <c r="BY10" s="67" t="s">
        <v>586</v>
      </c>
      <c r="BZ10" t="s">
        <v>39</v>
      </c>
    </row>
    <row r="11" spans="1:78" x14ac:dyDescent="0.15">
      <c r="A11" s="33">
        <v>5320</v>
      </c>
      <c r="B11" s="26">
        <v>42475</v>
      </c>
      <c r="C11" s="27" t="s">
        <v>377</v>
      </c>
      <c r="D11" s="68" t="s">
        <v>454</v>
      </c>
      <c r="E11" s="24"/>
      <c r="F11" s="24" t="s">
        <v>379</v>
      </c>
      <c r="G11" s="28">
        <v>42474</v>
      </c>
      <c r="H11" s="29" t="s">
        <v>175</v>
      </c>
      <c r="I11" s="29" t="s">
        <v>174</v>
      </c>
      <c r="J11" s="29"/>
      <c r="K11" s="24" t="s">
        <v>305</v>
      </c>
      <c r="L11" s="24" t="s">
        <v>524</v>
      </c>
      <c r="M11" s="81">
        <v>89</v>
      </c>
      <c r="N11" s="81">
        <v>39.818181818181813</v>
      </c>
      <c r="O11" s="24"/>
      <c r="P11" s="25"/>
      <c r="Q11" s="81"/>
      <c r="R11" s="25"/>
      <c r="S11" s="81"/>
      <c r="T11" s="25"/>
      <c r="U11" s="24"/>
      <c r="V11" s="24"/>
      <c r="W11" s="81"/>
      <c r="X11" s="24"/>
      <c r="Y11" s="24"/>
      <c r="Z11" s="25"/>
      <c r="AA11" s="24"/>
      <c r="AB11" s="25"/>
      <c r="AC11" s="24"/>
      <c r="AD11" s="24"/>
      <c r="AE11" s="24"/>
      <c r="AF11" s="81"/>
      <c r="AG11" s="25"/>
      <c r="AH11" s="24"/>
      <c r="AI11" s="24"/>
      <c r="AJ11" s="24"/>
      <c r="AK11" s="24"/>
      <c r="AL11" s="24"/>
      <c r="AM11" s="24"/>
      <c r="AN11" s="24"/>
      <c r="AO11" s="24"/>
      <c r="AP11" s="24">
        <v>0</v>
      </c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14.2</v>
      </c>
      <c r="AW11" s="29"/>
      <c r="AX11" s="29"/>
      <c r="AY11" s="29"/>
      <c r="AZ11" s="29" t="s">
        <v>361</v>
      </c>
      <c r="BA11" s="24"/>
      <c r="BB11" s="29">
        <v>15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>
        <v>24</v>
      </c>
      <c r="BO11" s="29" t="s">
        <v>174</v>
      </c>
      <c r="BP11" s="29"/>
      <c r="BQ11" s="29"/>
      <c r="BR11" s="283"/>
      <c r="BS11" s="24"/>
      <c r="BT11" s="24"/>
      <c r="BU11" s="29"/>
      <c r="BV11" s="29" t="s">
        <v>174</v>
      </c>
      <c r="BW11" s="30"/>
      <c r="BX11" s="66"/>
      <c r="BY11" s="32" t="s">
        <v>587</v>
      </c>
      <c r="BZ11" t="s">
        <v>39</v>
      </c>
    </row>
    <row r="12" spans="1:78" x14ac:dyDescent="0.15">
      <c r="A12" s="33">
        <v>5942</v>
      </c>
      <c r="B12" s="26">
        <v>42476</v>
      </c>
      <c r="C12" s="27" t="s">
        <v>377</v>
      </c>
      <c r="D12" s="68" t="s">
        <v>454</v>
      </c>
      <c r="E12" s="24"/>
      <c r="F12" s="24" t="s">
        <v>379</v>
      </c>
      <c r="G12" s="28">
        <v>42474</v>
      </c>
      <c r="H12" s="29" t="s">
        <v>175</v>
      </c>
      <c r="I12" s="29" t="s">
        <v>174</v>
      </c>
      <c r="J12" s="29"/>
      <c r="K12" s="24" t="s">
        <v>306</v>
      </c>
      <c r="L12" s="24" t="s">
        <v>525</v>
      </c>
      <c r="M12" s="81">
        <v>87.1</v>
      </c>
      <c r="N12" s="81">
        <v>35.099999999999994</v>
      </c>
      <c r="O12" s="24"/>
      <c r="P12" s="25"/>
      <c r="Q12" s="81"/>
      <c r="R12" s="25"/>
      <c r="S12" s="81"/>
      <c r="T12" s="25"/>
      <c r="U12" s="24"/>
      <c r="V12" s="24"/>
      <c r="W12" s="81"/>
      <c r="X12" s="24"/>
      <c r="Y12" s="24"/>
      <c r="Z12" s="25"/>
      <c r="AA12" s="24"/>
      <c r="AB12" s="25"/>
      <c r="AC12" s="24"/>
      <c r="AD12" s="24"/>
      <c r="AE12" s="24"/>
      <c r="AF12" s="81"/>
      <c r="AG12" s="25"/>
      <c r="AH12" s="24"/>
      <c r="AI12" s="24"/>
      <c r="AJ12" s="24"/>
      <c r="AK12" s="24"/>
      <c r="AL12" s="24"/>
      <c r="AM12" s="24"/>
      <c r="AN12" s="24"/>
      <c r="AO12" s="24"/>
      <c r="AP12" s="24">
        <v>0</v>
      </c>
      <c r="AQ12" s="24" t="s">
        <v>381</v>
      </c>
      <c r="AR12" s="29" t="s">
        <v>174</v>
      </c>
      <c r="AS12" s="29"/>
      <c r="AT12" s="29"/>
      <c r="AU12" s="29" t="s">
        <v>382</v>
      </c>
      <c r="AV12" s="29">
        <v>14.2</v>
      </c>
      <c r="AW12" s="29"/>
      <c r="AX12" s="29"/>
      <c r="AY12" s="29"/>
      <c r="AZ12" s="29" t="s">
        <v>361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174</v>
      </c>
      <c r="BN12" s="29"/>
      <c r="BO12" s="29" t="s">
        <v>174</v>
      </c>
      <c r="BP12" s="29"/>
      <c r="BQ12" s="29"/>
      <c r="BR12" s="283"/>
      <c r="BS12" s="30"/>
      <c r="BT12" s="30"/>
      <c r="BU12" s="29"/>
      <c r="BV12" s="29" t="s">
        <v>174</v>
      </c>
      <c r="BW12" s="24"/>
      <c r="BY12" s="32" t="s">
        <v>588</v>
      </c>
      <c r="BZ12" t="s">
        <v>39</v>
      </c>
    </row>
    <row r="13" spans="1:78" x14ac:dyDescent="0.15">
      <c r="A13" s="33">
        <v>2137</v>
      </c>
      <c r="B13" s="26">
        <v>42480</v>
      </c>
      <c r="C13" s="27" t="s">
        <v>377</v>
      </c>
      <c r="D13" s="68" t="s">
        <v>454</v>
      </c>
      <c r="E13" s="24"/>
      <c r="F13" s="24" t="s">
        <v>379</v>
      </c>
      <c r="G13" s="28">
        <v>42474</v>
      </c>
      <c r="H13" s="29" t="s">
        <v>175</v>
      </c>
      <c r="I13" s="29" t="s">
        <v>174</v>
      </c>
      <c r="J13" s="29"/>
      <c r="K13" s="24" t="s">
        <v>307</v>
      </c>
      <c r="L13" s="24" t="s">
        <v>526</v>
      </c>
      <c r="M13" s="81">
        <v>86.38</v>
      </c>
      <c r="N13" s="81">
        <v>35.099999999999994</v>
      </c>
      <c r="O13" s="24"/>
      <c r="P13" s="25"/>
      <c r="Q13" s="81"/>
      <c r="R13" s="25"/>
      <c r="S13" s="81"/>
      <c r="T13" s="24"/>
      <c r="U13" s="24"/>
      <c r="V13" s="24"/>
      <c r="W13" s="81"/>
      <c r="X13" s="24"/>
      <c r="Y13" s="24"/>
      <c r="Z13" s="24"/>
      <c r="AA13" s="24"/>
      <c r="AB13" s="24"/>
      <c r="AC13" s="24"/>
      <c r="AD13" s="24"/>
      <c r="AE13" s="24"/>
      <c r="AF13" s="81"/>
      <c r="AG13" s="25"/>
      <c r="AH13" s="24"/>
      <c r="AI13" s="24"/>
      <c r="AJ13" s="24"/>
      <c r="AK13" s="24"/>
      <c r="AL13" s="24"/>
      <c r="AM13" s="24"/>
      <c r="AN13" s="24"/>
      <c r="AO13" s="24"/>
      <c r="AP13" s="24">
        <v>0</v>
      </c>
      <c r="AQ13" s="24" t="s">
        <v>381</v>
      </c>
      <c r="AR13" s="29" t="s">
        <v>174</v>
      </c>
      <c r="AS13" s="29"/>
      <c r="AT13" s="29"/>
      <c r="AU13" s="29" t="s">
        <v>382</v>
      </c>
      <c r="AV13" s="29">
        <v>15</v>
      </c>
      <c r="AW13" s="29"/>
      <c r="AX13" s="29"/>
      <c r="AY13" s="29"/>
      <c r="AZ13" s="29" t="s">
        <v>174</v>
      </c>
      <c r="BA13" s="24"/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/>
      <c r="BO13" s="29" t="s">
        <v>174</v>
      </c>
      <c r="BP13" s="29"/>
      <c r="BQ13" s="29"/>
      <c r="BR13" s="283"/>
      <c r="BS13" s="24" t="s">
        <v>528</v>
      </c>
      <c r="BT13" s="24" t="s">
        <v>195</v>
      </c>
      <c r="BU13" s="29">
        <v>30</v>
      </c>
      <c r="BV13" s="29" t="s">
        <v>174</v>
      </c>
      <c r="BW13" s="24"/>
      <c r="BY13" s="67" t="s">
        <v>76</v>
      </c>
      <c r="BZ13" t="s">
        <v>39</v>
      </c>
    </row>
    <row r="14" spans="1:78" x14ac:dyDescent="0.15">
      <c r="A14" s="33">
        <v>6340</v>
      </c>
      <c r="B14" s="26">
        <v>42476</v>
      </c>
      <c r="C14" s="27" t="s">
        <v>377</v>
      </c>
      <c r="D14" s="68" t="s">
        <v>454</v>
      </c>
      <c r="E14" s="24"/>
      <c r="F14" s="24" t="s">
        <v>379</v>
      </c>
      <c r="G14" s="31">
        <v>42474</v>
      </c>
      <c r="H14" s="29" t="s">
        <v>175</v>
      </c>
      <c r="I14" s="29" t="s">
        <v>174</v>
      </c>
      <c r="J14" s="29"/>
      <c r="K14" s="24" t="s">
        <v>419</v>
      </c>
      <c r="L14" s="24" t="s">
        <v>589</v>
      </c>
      <c r="M14" s="91">
        <v>120.11818181818181</v>
      </c>
      <c r="N14" s="81">
        <v>36.790909090909089</v>
      </c>
      <c r="O14" s="24"/>
      <c r="P14" s="25"/>
      <c r="Q14" s="81"/>
      <c r="R14" s="25"/>
      <c r="S14" s="81"/>
      <c r="T14" s="25"/>
      <c r="U14" s="24"/>
      <c r="V14" s="24"/>
      <c r="W14" s="81"/>
      <c r="X14" s="24"/>
      <c r="Y14" s="24"/>
      <c r="Z14" s="24"/>
      <c r="AA14" s="24"/>
      <c r="AB14" s="24"/>
      <c r="AC14" s="24"/>
      <c r="AD14" s="24"/>
      <c r="AE14" s="24"/>
      <c r="AF14" s="81"/>
      <c r="AG14" s="24"/>
      <c r="AH14" s="24"/>
      <c r="AJ14" s="24"/>
      <c r="AK14" s="24"/>
      <c r="AL14" s="24"/>
      <c r="AM14" s="24"/>
      <c r="AN14" s="24"/>
      <c r="AO14" s="24"/>
      <c r="AP14" s="24">
        <v>0</v>
      </c>
      <c r="AQ14" t="s">
        <v>381</v>
      </c>
      <c r="AR14" s="29" t="s">
        <v>174</v>
      </c>
      <c r="AS14" s="29"/>
      <c r="AT14" s="29"/>
      <c r="AU14" s="29" t="s">
        <v>382</v>
      </c>
      <c r="AV14" s="29">
        <v>6.8</v>
      </c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74" t="s">
        <v>174</v>
      </c>
      <c r="BN14" s="29"/>
      <c r="BO14" s="29" t="s">
        <v>174</v>
      </c>
      <c r="BP14" s="29"/>
      <c r="BQ14" s="29"/>
      <c r="BR14" s="283"/>
      <c r="BS14" s="30"/>
      <c r="BT14" s="30"/>
      <c r="BU14" s="29"/>
      <c r="BV14" s="29" t="s">
        <v>174</v>
      </c>
      <c r="BW14" s="24">
        <v>1</v>
      </c>
      <c r="BY14" s="67" t="s">
        <v>590</v>
      </c>
      <c r="BZ14" t="s">
        <v>452</v>
      </c>
    </row>
    <row r="15" spans="1:78" x14ac:dyDescent="0.15">
      <c r="A15" s="33">
        <v>5633</v>
      </c>
      <c r="B15" s="26">
        <v>42475</v>
      </c>
      <c r="C15" s="27" t="s">
        <v>377</v>
      </c>
      <c r="D15" s="68" t="s">
        <v>454</v>
      </c>
      <c r="E15" s="24"/>
      <c r="F15" s="24" t="s">
        <v>379</v>
      </c>
      <c r="G15" s="31">
        <v>42474</v>
      </c>
      <c r="H15" s="74" t="s">
        <v>175</v>
      </c>
      <c r="I15" s="74" t="s">
        <v>174</v>
      </c>
      <c r="J15" s="29"/>
      <c r="K15" s="24" t="s">
        <v>495</v>
      </c>
      <c r="L15" s="68" t="s">
        <v>529</v>
      </c>
      <c r="M15" s="81">
        <v>110.68</v>
      </c>
      <c r="N15" s="81">
        <v>37.090000000000003</v>
      </c>
      <c r="O15" s="24"/>
      <c r="P15" s="24"/>
      <c r="Q15" s="81"/>
      <c r="R15" s="24"/>
      <c r="S15" s="81"/>
      <c r="T15" s="24"/>
      <c r="U15" s="24"/>
      <c r="V15" s="24"/>
      <c r="W15" s="81"/>
      <c r="X15" s="24"/>
      <c r="Y15" s="24"/>
      <c r="Z15" s="24"/>
      <c r="AA15" s="24"/>
      <c r="AB15" s="24"/>
      <c r="AC15" s="24"/>
      <c r="AD15" s="24"/>
      <c r="AE15" s="24"/>
      <c r="AF15" s="81"/>
      <c r="AG15" s="24"/>
      <c r="AH15" s="24"/>
      <c r="AI15" s="24"/>
      <c r="AJ15" s="24"/>
      <c r="AK15" s="24"/>
      <c r="AL15" s="24"/>
      <c r="AM15" s="24"/>
      <c r="AN15" s="24"/>
      <c r="AO15" s="24"/>
      <c r="AP15" s="24">
        <v>0</v>
      </c>
      <c r="AQ15" s="24" t="s">
        <v>381</v>
      </c>
      <c r="AR15" s="29" t="s">
        <v>174</v>
      </c>
      <c r="AS15" s="29"/>
      <c r="AT15" s="29"/>
      <c r="AU15" s="74" t="s">
        <v>382</v>
      </c>
      <c r="AV15" s="29">
        <v>10.199999999999999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12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29"/>
      <c r="BQ15" s="29"/>
      <c r="BR15" s="283"/>
      <c r="BS15" s="30"/>
      <c r="BT15" s="30"/>
      <c r="BU15" s="29"/>
      <c r="BV15" s="29" t="s">
        <v>174</v>
      </c>
      <c r="BW15" s="24">
        <v>1</v>
      </c>
      <c r="BY15" s="32" t="s">
        <v>591</v>
      </c>
      <c r="BZ15" t="s">
        <v>39</v>
      </c>
    </row>
    <row r="16" spans="1:78" x14ac:dyDescent="0.15">
      <c r="A16" s="33">
        <v>4761</v>
      </c>
      <c r="B16" s="26">
        <v>42468</v>
      </c>
      <c r="C16" s="27" t="s">
        <v>377</v>
      </c>
      <c r="D16" s="68" t="s">
        <v>454</v>
      </c>
      <c r="E16" s="24"/>
      <c r="F16" s="24" t="s">
        <v>379</v>
      </c>
      <c r="G16" s="28">
        <v>42473</v>
      </c>
      <c r="H16" s="29" t="s">
        <v>175</v>
      </c>
      <c r="I16" s="29" t="s">
        <v>174</v>
      </c>
      <c r="J16" s="29"/>
      <c r="K16" s="68" t="s">
        <v>437</v>
      </c>
      <c r="L16" s="68" t="s">
        <v>498</v>
      </c>
      <c r="M16" s="81">
        <v>64.349999999999994</v>
      </c>
      <c r="N16" s="81">
        <v>35.880000000000003</v>
      </c>
      <c r="O16" s="24"/>
      <c r="P16" s="25"/>
      <c r="Q16" s="81"/>
      <c r="R16" s="25"/>
      <c r="S16" s="81"/>
      <c r="T16" s="24"/>
      <c r="U16" s="24"/>
      <c r="V16" s="24"/>
      <c r="W16" s="81"/>
      <c r="X16" s="24"/>
      <c r="Y16" s="24"/>
      <c r="Z16" s="24"/>
      <c r="AA16" s="24"/>
      <c r="AB16" s="24"/>
      <c r="AC16" s="24"/>
      <c r="AD16" s="24"/>
      <c r="AE16" s="24"/>
      <c r="AF16" s="81"/>
      <c r="AG16" s="25"/>
      <c r="AH16" s="24"/>
      <c r="AI16" s="24"/>
      <c r="AJ16" s="24"/>
      <c r="AK16" s="24"/>
      <c r="AL16" s="24"/>
      <c r="AM16" s="24"/>
      <c r="AN16" s="24"/>
      <c r="AO16" s="24"/>
      <c r="AP16" s="24">
        <v>0</v>
      </c>
      <c r="AQ16" s="24" t="s">
        <v>381</v>
      </c>
      <c r="AR16" s="29" t="s">
        <v>174</v>
      </c>
      <c r="AS16" s="29"/>
      <c r="AT16" s="29"/>
      <c r="AU16" s="29" t="s">
        <v>382</v>
      </c>
      <c r="AV16" s="29">
        <v>10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/>
      <c r="BO16" s="29" t="s">
        <v>174</v>
      </c>
      <c r="BP16" s="29"/>
      <c r="BQ16" s="29"/>
      <c r="BR16" s="283"/>
      <c r="BS16" s="24"/>
      <c r="BT16" s="24"/>
      <c r="BU16" s="29"/>
      <c r="BV16" s="29" t="s">
        <v>174</v>
      </c>
      <c r="BW16" s="68">
        <v>1</v>
      </c>
      <c r="BY16" s="32" t="s">
        <v>76</v>
      </c>
      <c r="BZ16" t="s">
        <v>39</v>
      </c>
    </row>
    <row r="17" spans="1:78" x14ac:dyDescent="0.15">
      <c r="A17" s="33">
        <v>5102</v>
      </c>
      <c r="B17" s="26">
        <v>42476</v>
      </c>
      <c r="C17" s="27" t="s">
        <v>377</v>
      </c>
      <c r="D17" s="68" t="s">
        <v>454</v>
      </c>
      <c r="E17" s="24"/>
      <c r="F17" s="24" t="s">
        <v>379</v>
      </c>
      <c r="G17" s="28">
        <v>42474</v>
      </c>
      <c r="H17" s="29" t="s">
        <v>174</v>
      </c>
      <c r="I17" s="29" t="s">
        <v>500</v>
      </c>
      <c r="J17" s="29"/>
      <c r="K17" s="24" t="s">
        <v>531</v>
      </c>
      <c r="L17" s="24" t="s">
        <v>502</v>
      </c>
      <c r="M17" s="81">
        <v>95.654545454545442</v>
      </c>
      <c r="N17" s="81">
        <v>29.099999999999994</v>
      </c>
      <c r="O17" s="24"/>
      <c r="P17" s="25"/>
      <c r="Q17" s="81"/>
      <c r="R17" s="25"/>
      <c r="S17" s="81"/>
      <c r="T17" s="25"/>
      <c r="U17" s="24"/>
      <c r="V17" s="24"/>
      <c r="W17" s="81"/>
      <c r="X17" s="24"/>
      <c r="Y17" s="24"/>
      <c r="Z17" s="24"/>
      <c r="AA17" s="24"/>
      <c r="AB17" s="25"/>
      <c r="AC17" s="24"/>
      <c r="AD17" s="24"/>
      <c r="AE17" s="24"/>
      <c r="AF17" s="81"/>
      <c r="AG17" s="25"/>
      <c r="AH17" s="24"/>
      <c r="AI17" s="24"/>
      <c r="AJ17" s="24"/>
      <c r="AK17" s="24"/>
      <c r="AL17" s="24"/>
      <c r="AM17" s="24"/>
      <c r="AN17" s="24"/>
      <c r="AO17" s="24"/>
      <c r="AP17" s="24">
        <v>0</v>
      </c>
      <c r="AQ17" s="24" t="s">
        <v>381</v>
      </c>
      <c r="AR17" s="29" t="s">
        <v>174</v>
      </c>
      <c r="AS17" s="29"/>
      <c r="AT17" s="29"/>
      <c r="AU17" s="29"/>
      <c r="AV17" s="29"/>
      <c r="AW17" s="29"/>
      <c r="AX17" s="29"/>
      <c r="AY17" s="29"/>
      <c r="AZ17" s="29" t="s">
        <v>174</v>
      </c>
      <c r="BA17" s="24"/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29"/>
      <c r="BN17" s="29"/>
      <c r="BO17" s="29" t="s">
        <v>174</v>
      </c>
      <c r="BP17" s="29">
        <v>72</v>
      </c>
      <c r="BQ17" s="29"/>
      <c r="BR17" s="283"/>
      <c r="BS17" s="30"/>
      <c r="BT17" s="30"/>
      <c r="BU17" s="29"/>
      <c r="BV17" s="29" t="s">
        <v>174</v>
      </c>
      <c r="BW17" s="24">
        <v>1</v>
      </c>
      <c r="BX17" t="s">
        <v>592</v>
      </c>
      <c r="BY17" s="67" t="s">
        <v>593</v>
      </c>
      <c r="BZ17" t="s">
        <v>39</v>
      </c>
    </row>
    <row r="18" spans="1:78" x14ac:dyDescent="0.15">
      <c r="A18" s="33">
        <v>6122</v>
      </c>
      <c r="B18" s="26">
        <v>42476</v>
      </c>
      <c r="C18" s="27" t="s">
        <v>377</v>
      </c>
      <c r="D18" s="68" t="s">
        <v>454</v>
      </c>
      <c r="E18" s="24"/>
      <c r="F18" s="24" t="s">
        <v>379</v>
      </c>
      <c r="G18" s="28">
        <v>42277</v>
      </c>
      <c r="H18" s="29" t="s">
        <v>175</v>
      </c>
      <c r="I18" s="29" t="s">
        <v>174</v>
      </c>
      <c r="J18" s="29"/>
      <c r="K18" s="24" t="s">
        <v>594</v>
      </c>
      <c r="L18" s="24" t="s">
        <v>595</v>
      </c>
      <c r="M18" s="81">
        <v>104.99999999999999</v>
      </c>
      <c r="N18" s="81">
        <v>33.18181818181818</v>
      </c>
      <c r="O18" s="24"/>
      <c r="P18" s="25"/>
      <c r="Q18" s="81"/>
      <c r="R18" s="25"/>
      <c r="S18" s="81"/>
      <c r="T18" s="25"/>
      <c r="U18" s="24"/>
      <c r="V18" s="24"/>
      <c r="W18" s="81"/>
      <c r="X18" s="24"/>
      <c r="Y18" s="24"/>
      <c r="Z18" s="24"/>
      <c r="AA18" s="24"/>
      <c r="AB18" s="24"/>
      <c r="AC18" s="24"/>
      <c r="AD18" s="24"/>
      <c r="AE18" s="24"/>
      <c r="AF18" s="81"/>
      <c r="AG18" s="25"/>
      <c r="AH18" s="24"/>
      <c r="AI18" s="24"/>
      <c r="AJ18" s="24"/>
      <c r="AK18" s="24"/>
      <c r="AL18" s="24"/>
      <c r="AM18" s="24"/>
      <c r="AN18" s="24"/>
      <c r="AO18" s="24"/>
      <c r="AP18" s="24">
        <v>0</v>
      </c>
      <c r="AQ18" s="24" t="s">
        <v>381</v>
      </c>
      <c r="AR18" s="29" t="s">
        <v>174</v>
      </c>
      <c r="AS18" s="29"/>
      <c r="AT18" s="29"/>
      <c r="AU18" s="29" t="s">
        <v>382</v>
      </c>
      <c r="AV18" s="29">
        <v>15.5</v>
      </c>
      <c r="AW18" s="29"/>
      <c r="AX18" s="29"/>
      <c r="AY18" s="29"/>
      <c r="AZ18" s="29" t="s">
        <v>361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29" t="s">
        <v>174</v>
      </c>
      <c r="BN18" s="29"/>
      <c r="BO18" s="29" t="s">
        <v>174</v>
      </c>
      <c r="BP18" s="96">
        <v>239.89</v>
      </c>
      <c r="BQ18" s="29"/>
      <c r="BR18" s="283">
        <v>42551</v>
      </c>
      <c r="BS18" s="24"/>
      <c r="BT18" s="24"/>
      <c r="BU18" s="29"/>
      <c r="BV18" s="29" t="s">
        <v>174</v>
      </c>
      <c r="BW18" s="24"/>
      <c r="BX18" s="66"/>
      <c r="BY18" s="269" t="s">
        <v>596</v>
      </c>
      <c r="BZ18" t="s">
        <v>77</v>
      </c>
    </row>
    <row r="19" spans="1:78" x14ac:dyDescent="0.15">
      <c r="A19" s="33">
        <v>87</v>
      </c>
      <c r="B19" s="26">
        <v>42476</v>
      </c>
      <c r="C19" s="27" t="s">
        <v>377</v>
      </c>
      <c r="D19" s="68" t="s">
        <v>454</v>
      </c>
      <c r="E19" s="24"/>
      <c r="F19" s="24" t="s">
        <v>379</v>
      </c>
      <c r="G19" s="28">
        <v>42452</v>
      </c>
      <c r="H19" s="29" t="s">
        <v>175</v>
      </c>
      <c r="I19" s="29" t="s">
        <v>174</v>
      </c>
      <c r="J19" s="29"/>
      <c r="K19" s="24" t="s">
        <v>597</v>
      </c>
      <c r="L19" s="24" t="s">
        <v>598</v>
      </c>
      <c r="M19" s="81">
        <v>89</v>
      </c>
      <c r="N19" s="81">
        <v>39.818181818181813</v>
      </c>
      <c r="O19" s="24"/>
      <c r="P19" s="25"/>
      <c r="Q19" s="81"/>
      <c r="R19" s="25"/>
      <c r="S19" s="81"/>
      <c r="T19" s="25"/>
      <c r="U19" s="24"/>
      <c r="V19" s="24"/>
      <c r="W19" s="81"/>
      <c r="X19" s="24"/>
      <c r="Y19" s="24"/>
      <c r="Z19" s="24"/>
      <c r="AA19" s="24"/>
      <c r="AB19" s="24"/>
      <c r="AC19" s="24"/>
      <c r="AD19" s="24"/>
      <c r="AE19" s="24"/>
      <c r="AF19" s="81"/>
      <c r="AG19" s="25"/>
      <c r="AH19" s="24"/>
      <c r="AI19" s="24"/>
      <c r="AJ19" s="24"/>
      <c r="AK19" s="24"/>
      <c r="AL19" s="24"/>
      <c r="AM19" s="24"/>
      <c r="AN19" s="24"/>
      <c r="AO19" s="24"/>
      <c r="AP19" s="24">
        <v>0</v>
      </c>
      <c r="AQ19" s="24" t="s">
        <v>381</v>
      </c>
      <c r="AR19" s="29" t="s">
        <v>174</v>
      </c>
      <c r="AS19" s="29"/>
      <c r="AT19" s="29"/>
      <c r="AU19" s="29" t="s">
        <v>382</v>
      </c>
      <c r="AV19" s="29">
        <v>14.2</v>
      </c>
      <c r="AW19" s="29"/>
      <c r="AX19" s="29"/>
      <c r="AY19" s="29"/>
      <c r="AZ19" s="29" t="s">
        <v>174</v>
      </c>
      <c r="BA19" s="24"/>
      <c r="BB19" s="29">
        <v>0</v>
      </c>
      <c r="BC19" s="29">
        <v>0</v>
      </c>
      <c r="BD19" s="29">
        <v>0</v>
      </c>
      <c r="BE19" s="29">
        <v>15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29" t="s">
        <v>174</v>
      </c>
      <c r="BN19" s="29"/>
      <c r="BO19" s="29" t="s">
        <v>174</v>
      </c>
      <c r="BP19" s="96"/>
      <c r="BQ19" s="29"/>
      <c r="BR19" s="283"/>
      <c r="BS19" s="24"/>
      <c r="BT19" s="24"/>
      <c r="BU19" s="29"/>
      <c r="BV19" s="29" t="s">
        <v>174</v>
      </c>
      <c r="BW19" s="24">
        <v>1</v>
      </c>
      <c r="BX19" s="66"/>
      <c r="BY19" s="32" t="s">
        <v>599</v>
      </c>
      <c r="BZ19" t="s">
        <v>39</v>
      </c>
    </row>
    <row r="20" spans="1:78" x14ac:dyDescent="0.15">
      <c r="A20" s="33">
        <v>6073</v>
      </c>
      <c r="B20" s="26">
        <v>42468</v>
      </c>
      <c r="C20" s="27" t="s">
        <v>377</v>
      </c>
      <c r="D20" s="68" t="s">
        <v>454</v>
      </c>
      <c r="E20" s="24"/>
      <c r="F20" s="24" t="s">
        <v>403</v>
      </c>
      <c r="G20" s="28">
        <v>42433</v>
      </c>
      <c r="H20" s="29" t="s">
        <v>175</v>
      </c>
      <c r="I20" s="29" t="s">
        <v>174</v>
      </c>
      <c r="J20" s="29"/>
      <c r="K20" s="24" t="s">
        <v>296</v>
      </c>
      <c r="L20" s="24" t="s">
        <v>582</v>
      </c>
      <c r="M20" s="81">
        <v>76.536363636363632</v>
      </c>
      <c r="N20" s="81">
        <v>34.236363636363627</v>
      </c>
      <c r="O20" s="24"/>
      <c r="P20" s="25"/>
      <c r="Q20" s="81"/>
      <c r="R20" s="25"/>
      <c r="S20" s="81"/>
      <c r="T20" s="25"/>
      <c r="U20" s="24"/>
      <c r="V20" s="24"/>
      <c r="W20" s="81"/>
      <c r="X20" s="24"/>
      <c r="Y20" s="24"/>
      <c r="Z20" s="24"/>
      <c r="AA20" s="24"/>
      <c r="AB20" s="25"/>
      <c r="AC20" s="24"/>
      <c r="AD20" s="24"/>
      <c r="AE20" s="24"/>
      <c r="AF20" s="81">
        <v>17.29999991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>
        <v>0</v>
      </c>
      <c r="AQ20" s="24" t="s">
        <v>404</v>
      </c>
      <c r="AR20" s="29" t="s">
        <v>174</v>
      </c>
      <c r="AS20" s="29"/>
      <c r="AT20" s="29"/>
      <c r="AU20" s="29" t="s">
        <v>382</v>
      </c>
      <c r="AV20" s="29">
        <v>14.2</v>
      </c>
      <c r="AW20" s="29"/>
      <c r="AX20" s="29"/>
      <c r="AY20" s="29"/>
      <c r="AZ20" s="29" t="s">
        <v>361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29" t="s">
        <v>174</v>
      </c>
      <c r="BN20" s="29"/>
      <c r="BO20" s="29" t="s">
        <v>174</v>
      </c>
      <c r="BP20" s="29"/>
      <c r="BQ20" s="29"/>
      <c r="BR20" s="283"/>
      <c r="BS20" s="30"/>
      <c r="BT20" s="30"/>
      <c r="BU20" s="29"/>
      <c r="BV20" s="29" t="s">
        <v>174</v>
      </c>
      <c r="BW20" s="24"/>
      <c r="BX20" s="66"/>
      <c r="BY20" s="67" t="s">
        <v>76</v>
      </c>
      <c r="BZ20" t="s">
        <v>77</v>
      </c>
    </row>
    <row r="21" spans="1:78" x14ac:dyDescent="0.15">
      <c r="A21" s="33">
        <v>5548</v>
      </c>
      <c r="B21" s="26">
        <v>42468</v>
      </c>
      <c r="C21" s="27" t="s">
        <v>377</v>
      </c>
      <c r="D21" s="68" t="s">
        <v>454</v>
      </c>
      <c r="E21" s="24"/>
      <c r="F21" s="24" t="s">
        <v>403</v>
      </c>
      <c r="G21" s="31">
        <v>42262</v>
      </c>
      <c r="H21" s="29" t="s">
        <v>175</v>
      </c>
      <c r="I21" s="29" t="s">
        <v>174</v>
      </c>
      <c r="J21" s="29"/>
      <c r="K21" s="24" t="s">
        <v>297</v>
      </c>
      <c r="L21" s="24" t="s">
        <v>511</v>
      </c>
      <c r="M21" s="81">
        <v>90.5</v>
      </c>
      <c r="N21" s="81">
        <v>33.972727272727269</v>
      </c>
      <c r="O21" s="24"/>
      <c r="P21" s="25"/>
      <c r="Q21" s="81"/>
      <c r="R21" s="25"/>
      <c r="S21" s="81"/>
      <c r="T21" s="25"/>
      <c r="U21" s="24"/>
      <c r="V21" s="24"/>
      <c r="W21" s="81"/>
      <c r="X21" s="24"/>
      <c r="Y21" s="24"/>
      <c r="Z21" s="24"/>
      <c r="AA21" s="24"/>
      <c r="AB21" s="24"/>
      <c r="AC21" s="24"/>
      <c r="AD21" s="24"/>
      <c r="AE21" s="24"/>
      <c r="AF21" s="81">
        <v>15.5999999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>
        <v>0</v>
      </c>
      <c r="AQ21" s="24" t="s">
        <v>404</v>
      </c>
      <c r="AR21" s="29" t="s">
        <v>174</v>
      </c>
      <c r="AS21" s="29"/>
      <c r="AT21" s="29"/>
      <c r="AU21" s="29" t="s">
        <v>382</v>
      </c>
      <c r="AV21" s="29">
        <v>9.5</v>
      </c>
      <c r="AW21" s="29"/>
      <c r="AX21" s="29"/>
      <c r="AY21" s="29"/>
      <c r="AZ21" s="29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29" t="s">
        <v>174</v>
      </c>
      <c r="BN21" s="29"/>
      <c r="BO21" s="29" t="s">
        <v>174</v>
      </c>
      <c r="BP21" s="29"/>
      <c r="BQ21" s="29"/>
      <c r="BR21" s="283"/>
      <c r="BS21" s="24"/>
      <c r="BT21" s="24"/>
      <c r="BU21" s="29"/>
      <c r="BV21" s="29" t="s">
        <v>174</v>
      </c>
      <c r="BW21" s="68">
        <v>1</v>
      </c>
      <c r="BX21" s="66"/>
      <c r="BY21" s="67" t="s">
        <v>76</v>
      </c>
      <c r="BZ21" t="s">
        <v>77</v>
      </c>
    </row>
    <row r="22" spans="1:78" x14ac:dyDescent="0.15">
      <c r="A22" s="33">
        <v>5587</v>
      </c>
      <c r="B22" s="26">
        <v>42475</v>
      </c>
      <c r="C22" s="27" t="s">
        <v>377</v>
      </c>
      <c r="D22" s="68" t="s">
        <v>454</v>
      </c>
      <c r="E22" s="24"/>
      <c r="F22" s="24" t="s">
        <v>403</v>
      </c>
      <c r="G22" s="28">
        <v>42474</v>
      </c>
      <c r="H22" s="29" t="s">
        <v>175</v>
      </c>
      <c r="I22" s="29" t="s">
        <v>174</v>
      </c>
      <c r="J22" s="29"/>
      <c r="K22" s="24" t="s">
        <v>298</v>
      </c>
      <c r="L22" s="68" t="s">
        <v>512</v>
      </c>
      <c r="M22" s="81">
        <v>70.86363636363636</v>
      </c>
      <c r="N22" s="81">
        <v>34.354545454545452</v>
      </c>
      <c r="O22" s="24"/>
      <c r="P22" s="24"/>
      <c r="Q22" s="81"/>
      <c r="R22" s="24"/>
      <c r="S22" s="81"/>
      <c r="T22" s="24"/>
      <c r="U22" s="24"/>
      <c r="V22" s="24"/>
      <c r="W22" s="81"/>
      <c r="X22" s="24"/>
      <c r="Y22" s="24"/>
      <c r="Z22" s="24"/>
      <c r="AA22" s="24"/>
      <c r="AB22" s="24"/>
      <c r="AC22" s="24"/>
      <c r="AD22" s="24"/>
      <c r="AE22" s="24"/>
      <c r="AF22" s="81">
        <v>17.499999899999999</v>
      </c>
      <c r="AG22" s="24"/>
      <c r="AH22" s="24"/>
      <c r="AI22" s="24"/>
      <c r="AJ22" s="24"/>
      <c r="AK22" s="24"/>
      <c r="AL22" s="24"/>
      <c r="AM22" s="24"/>
      <c r="AN22" s="24"/>
      <c r="AO22" s="24"/>
      <c r="AP22" s="24">
        <v>0</v>
      </c>
      <c r="AQ22" s="24" t="s">
        <v>404</v>
      </c>
      <c r="AR22" s="29" t="s">
        <v>174</v>
      </c>
      <c r="AS22" s="29"/>
      <c r="AT22" s="29"/>
      <c r="AU22" s="29" t="s">
        <v>382</v>
      </c>
      <c r="AV22" s="29">
        <v>14</v>
      </c>
      <c r="AW22" s="29"/>
      <c r="AX22" s="29"/>
      <c r="AY22" s="29"/>
      <c r="AZ22" s="29" t="s">
        <v>174</v>
      </c>
      <c r="BA22" s="24"/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29" t="s">
        <v>174</v>
      </c>
      <c r="BN22" s="29"/>
      <c r="BO22" s="29" t="s">
        <v>174</v>
      </c>
      <c r="BP22" s="29"/>
      <c r="BQ22" s="29"/>
      <c r="BR22" s="283"/>
      <c r="BS22" s="30"/>
      <c r="BT22" s="30"/>
      <c r="BU22" s="29"/>
      <c r="BV22" s="29" t="s">
        <v>174</v>
      </c>
      <c r="BW22" s="24">
        <v>1</v>
      </c>
      <c r="BX22" s="66"/>
      <c r="BY22" s="32" t="s">
        <v>600</v>
      </c>
      <c r="BZ22" t="s">
        <v>39</v>
      </c>
    </row>
    <row r="23" spans="1:78" x14ac:dyDescent="0.15">
      <c r="A23" s="33">
        <v>241</v>
      </c>
      <c r="B23" s="26">
        <v>42475</v>
      </c>
      <c r="C23" s="27" t="s">
        <v>377</v>
      </c>
      <c r="D23" s="68" t="s">
        <v>454</v>
      </c>
      <c r="E23" s="24"/>
      <c r="F23" s="24" t="s">
        <v>403</v>
      </c>
      <c r="G23" s="28">
        <v>42474</v>
      </c>
      <c r="H23" s="29" t="s">
        <v>175</v>
      </c>
      <c r="I23" s="29" t="s">
        <v>174</v>
      </c>
      <c r="J23" s="29"/>
      <c r="K23" s="24" t="s">
        <v>299</v>
      </c>
      <c r="L23" s="24" t="s">
        <v>446</v>
      </c>
      <c r="M23" s="81">
        <v>95.663636363636357</v>
      </c>
      <c r="N23" s="81">
        <v>33.754545454545458</v>
      </c>
      <c r="O23" s="24"/>
      <c r="P23" s="25"/>
      <c r="Q23" s="81"/>
      <c r="R23" s="25"/>
      <c r="S23" s="81"/>
      <c r="T23" s="24"/>
      <c r="U23" s="24"/>
      <c r="V23" s="24"/>
      <c r="W23" s="81"/>
      <c r="X23" s="24"/>
      <c r="Y23" s="24"/>
      <c r="Z23" s="24"/>
      <c r="AA23" s="24"/>
      <c r="AB23" s="24"/>
      <c r="AC23" s="24"/>
      <c r="AD23" s="24"/>
      <c r="AE23" s="24"/>
      <c r="AF23" s="81">
        <v>2.5636363636363999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>
        <v>0</v>
      </c>
      <c r="AQ23" s="24" t="s">
        <v>404</v>
      </c>
      <c r="AR23" s="29" t="s">
        <v>174</v>
      </c>
      <c r="AS23" s="29"/>
      <c r="AT23" s="29"/>
      <c r="AU23" s="29" t="s">
        <v>382</v>
      </c>
      <c r="AV23" s="29">
        <v>11.6</v>
      </c>
      <c r="AW23" s="29"/>
      <c r="AX23" s="29"/>
      <c r="AY23" s="29"/>
      <c r="AZ23" s="29" t="s">
        <v>174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/>
      <c r="BO23" s="29" t="s">
        <v>174</v>
      </c>
      <c r="BP23" s="29"/>
      <c r="BQ23" s="29"/>
      <c r="BR23" s="283"/>
      <c r="BS23" s="30"/>
      <c r="BT23" s="24"/>
      <c r="BU23" s="29"/>
      <c r="BV23" s="29" t="s">
        <v>174</v>
      </c>
      <c r="BW23" s="24"/>
      <c r="BY23" s="32" t="s">
        <v>601</v>
      </c>
      <c r="BZ23" t="s">
        <v>39</v>
      </c>
    </row>
    <row r="24" spans="1:78" x14ac:dyDescent="0.15">
      <c r="A24" s="33">
        <v>5769</v>
      </c>
      <c r="B24" s="26">
        <v>42475</v>
      </c>
      <c r="C24" s="27" t="s">
        <v>377</v>
      </c>
      <c r="D24" s="68" t="s">
        <v>454</v>
      </c>
      <c r="E24" s="24"/>
      <c r="F24" s="24" t="s">
        <v>403</v>
      </c>
      <c r="G24" s="28">
        <v>42247</v>
      </c>
      <c r="H24" s="29" t="s">
        <v>175</v>
      </c>
      <c r="I24" s="29" t="s">
        <v>174</v>
      </c>
      <c r="J24" s="29"/>
      <c r="K24" s="24" t="s">
        <v>300</v>
      </c>
      <c r="L24" s="24" t="s">
        <v>517</v>
      </c>
      <c r="M24" s="81">
        <v>99.5</v>
      </c>
      <c r="N24" s="81">
        <v>37.554545454545455</v>
      </c>
      <c r="O24" s="24" t="s">
        <v>518</v>
      </c>
      <c r="P24" s="25">
        <v>1000</v>
      </c>
      <c r="Q24" s="81">
        <v>39.954545454545453</v>
      </c>
      <c r="R24" s="25"/>
      <c r="S24" s="81"/>
      <c r="T24" s="25"/>
      <c r="U24" s="24"/>
      <c r="V24" s="24"/>
      <c r="W24" s="81"/>
      <c r="X24" s="24"/>
      <c r="Y24" s="24"/>
      <c r="Z24" s="24"/>
      <c r="AA24" s="24"/>
      <c r="AB24" s="24"/>
      <c r="AC24" s="24"/>
      <c r="AD24" s="24"/>
      <c r="AE24" s="24"/>
      <c r="AF24" s="81">
        <v>19.954545454545453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>
        <v>0</v>
      </c>
      <c r="AQ24" s="24" t="s">
        <v>404</v>
      </c>
      <c r="AR24" s="29" t="s">
        <v>174</v>
      </c>
      <c r="AS24" s="29"/>
      <c r="AT24" s="29"/>
      <c r="AU24" s="29" t="s">
        <v>382</v>
      </c>
      <c r="AV24" s="29">
        <v>12</v>
      </c>
      <c r="AW24" s="29"/>
      <c r="AX24" s="29"/>
      <c r="AY24" s="29"/>
      <c r="AZ24" s="29" t="s">
        <v>361</v>
      </c>
      <c r="BA24" s="24"/>
      <c r="BB24" s="29">
        <v>0</v>
      </c>
      <c r="BC24" s="29">
        <v>0</v>
      </c>
      <c r="BD24" s="29">
        <v>7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29"/>
      <c r="BQ24" s="29"/>
      <c r="BR24" s="283"/>
      <c r="BS24" s="24"/>
      <c r="BT24" s="24"/>
      <c r="BU24" s="29"/>
      <c r="BV24" s="29" t="s">
        <v>174</v>
      </c>
      <c r="BW24" s="24"/>
      <c r="BY24" s="32" t="s">
        <v>519</v>
      </c>
      <c r="BZ24" t="s">
        <v>77</v>
      </c>
    </row>
    <row r="25" spans="1:78" x14ac:dyDescent="0.15">
      <c r="A25" s="33">
        <v>5267</v>
      </c>
      <c r="B25" s="26">
        <v>42480</v>
      </c>
      <c r="C25" s="27" t="s">
        <v>377</v>
      </c>
      <c r="D25" s="68" t="s">
        <v>454</v>
      </c>
      <c r="E25" s="24"/>
      <c r="F25" s="24" t="s">
        <v>403</v>
      </c>
      <c r="G25" s="28">
        <v>42474</v>
      </c>
      <c r="H25" s="29" t="s">
        <v>175</v>
      </c>
      <c r="I25" s="29" t="s">
        <v>174</v>
      </c>
      <c r="J25" s="29"/>
      <c r="K25" s="24" t="s">
        <v>301</v>
      </c>
      <c r="L25" s="24" t="s">
        <v>520</v>
      </c>
      <c r="M25" s="81">
        <v>97.999999999999986</v>
      </c>
      <c r="N25" s="81">
        <v>39.663636363636364</v>
      </c>
      <c r="O25" s="24"/>
      <c r="P25" s="25"/>
      <c r="Q25" s="81"/>
      <c r="R25" s="25"/>
      <c r="S25" s="81"/>
      <c r="T25" s="25"/>
      <c r="U25" s="24"/>
      <c r="V25" s="24"/>
      <c r="W25" s="81"/>
      <c r="X25" s="25"/>
      <c r="Y25" s="24"/>
      <c r="Z25" s="25"/>
      <c r="AA25" s="24"/>
      <c r="AB25" s="25"/>
      <c r="AC25" s="24"/>
      <c r="AD25" s="24"/>
      <c r="AE25" s="24"/>
      <c r="AF25" s="81">
        <v>2.818181818182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>
        <v>0</v>
      </c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12.65</v>
      </c>
      <c r="AW25" s="29"/>
      <c r="AX25" s="29"/>
      <c r="AY25" s="29"/>
      <c r="AZ25" s="29" t="s">
        <v>361</v>
      </c>
      <c r="BA25" s="24"/>
      <c r="BB25" s="29">
        <v>5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>
        <v>12</v>
      </c>
      <c r="BO25" s="29" t="s">
        <v>174</v>
      </c>
      <c r="BP25" s="29"/>
      <c r="BQ25" s="29"/>
      <c r="BR25" s="283"/>
      <c r="BS25" s="24"/>
      <c r="BT25" s="24"/>
      <c r="BU25" s="29"/>
      <c r="BV25" s="29" t="s">
        <v>174</v>
      </c>
      <c r="BW25" s="24"/>
      <c r="BX25" s="66"/>
      <c r="BY25" s="67" t="s">
        <v>76</v>
      </c>
      <c r="BZ25" t="s">
        <v>39</v>
      </c>
    </row>
    <row r="26" spans="1:78" x14ac:dyDescent="0.15">
      <c r="A26" s="33">
        <v>4784</v>
      </c>
      <c r="B26" s="26">
        <v>42475</v>
      </c>
      <c r="C26" s="27" t="s">
        <v>377</v>
      </c>
      <c r="D26" s="68" t="s">
        <v>454</v>
      </c>
      <c r="E26" s="24"/>
      <c r="F26" s="24" t="s">
        <v>403</v>
      </c>
      <c r="G26" s="28">
        <v>42474</v>
      </c>
      <c r="H26" s="29" t="s">
        <v>175</v>
      </c>
      <c r="I26" s="29" t="s">
        <v>174</v>
      </c>
      <c r="J26" s="29"/>
      <c r="K26" s="24" t="s">
        <v>302</v>
      </c>
      <c r="L26" s="24" t="s">
        <v>521</v>
      </c>
      <c r="M26" s="81">
        <v>86.018181818181816</v>
      </c>
      <c r="N26" s="81">
        <v>33.890909090909091</v>
      </c>
      <c r="O26" s="24"/>
      <c r="P26" s="25"/>
      <c r="Q26" s="81"/>
      <c r="R26" s="25"/>
      <c r="S26" s="81"/>
      <c r="T26" s="25"/>
      <c r="U26" s="24"/>
      <c r="V26" s="24"/>
      <c r="W26" s="81"/>
      <c r="X26" s="25"/>
      <c r="Y26" s="24"/>
      <c r="Z26" s="25"/>
      <c r="AA26" s="24"/>
      <c r="AB26" s="25"/>
      <c r="AC26" s="24"/>
      <c r="AD26" s="24"/>
      <c r="AE26" s="24"/>
      <c r="AF26" s="81">
        <v>18.799999999999997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15</v>
      </c>
      <c r="AW26" s="29"/>
      <c r="AX26" s="29"/>
      <c r="AY26" s="29"/>
      <c r="AZ26" s="29" t="s">
        <v>361</v>
      </c>
      <c r="BA26" s="24"/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/>
      <c r="BO26" s="29" t="s">
        <v>174</v>
      </c>
      <c r="BP26" s="29"/>
      <c r="BQ26" s="29"/>
      <c r="BR26" s="283"/>
      <c r="BS26" s="24"/>
      <c r="BT26" s="24"/>
      <c r="BU26" s="29"/>
      <c r="BV26" s="29" t="s">
        <v>174</v>
      </c>
      <c r="BW26" s="24"/>
      <c r="BX26" s="66"/>
      <c r="BY26" s="67" t="s">
        <v>619</v>
      </c>
      <c r="BZ26" t="s">
        <v>39</v>
      </c>
    </row>
    <row r="27" spans="1:78" x14ac:dyDescent="0.15">
      <c r="A27" s="33">
        <v>929</v>
      </c>
      <c r="B27" s="26">
        <v>42475</v>
      </c>
      <c r="C27" s="27" t="s">
        <v>377</v>
      </c>
      <c r="D27" s="68" t="s">
        <v>454</v>
      </c>
      <c r="E27" s="24"/>
      <c r="F27" s="24" t="s">
        <v>403</v>
      </c>
      <c r="G27" s="26">
        <v>42475</v>
      </c>
      <c r="H27" s="29" t="s">
        <v>175</v>
      </c>
      <c r="I27" s="29" t="s">
        <v>174</v>
      </c>
      <c r="J27" s="29"/>
      <c r="K27" s="24" t="s">
        <v>303</v>
      </c>
      <c r="L27" s="24" t="s">
        <v>522</v>
      </c>
      <c r="M27" s="81">
        <v>95.881818181818176</v>
      </c>
      <c r="N27" s="81">
        <v>29.799999999999997</v>
      </c>
      <c r="O27" s="24"/>
      <c r="P27" s="25"/>
      <c r="Q27" s="81"/>
      <c r="R27" s="25"/>
      <c r="S27" s="81"/>
      <c r="T27" s="24"/>
      <c r="U27" s="24"/>
      <c r="V27" s="24"/>
      <c r="W27" s="81"/>
      <c r="X27" s="24"/>
      <c r="Y27" s="24"/>
      <c r="Z27" s="24"/>
      <c r="AA27" s="24"/>
      <c r="AB27" s="24"/>
      <c r="AC27" s="24"/>
      <c r="AD27" s="24"/>
      <c r="AE27" s="24"/>
      <c r="AF27" s="81">
        <v>17.881818181818183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>
        <v>0</v>
      </c>
      <c r="AQ27" s="24" t="s">
        <v>404</v>
      </c>
      <c r="AR27" s="29" t="s">
        <v>174</v>
      </c>
      <c r="AS27" s="29"/>
      <c r="AT27" s="29"/>
      <c r="AU27" s="29" t="s">
        <v>382</v>
      </c>
      <c r="AV27" s="29">
        <v>6.8</v>
      </c>
      <c r="AW27" s="29"/>
      <c r="AX27" s="29"/>
      <c r="AY27" s="29"/>
      <c r="AZ27" s="29" t="s">
        <v>174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29"/>
      <c r="BQ27" s="29"/>
      <c r="BR27" s="283"/>
      <c r="BS27" s="24"/>
      <c r="BT27" s="24"/>
      <c r="BU27" s="29"/>
      <c r="BV27" s="29" t="s">
        <v>174</v>
      </c>
      <c r="BW27" s="24"/>
      <c r="BX27" s="66"/>
      <c r="BY27" s="67" t="s">
        <v>602</v>
      </c>
      <c r="BZ27" t="s">
        <v>39</v>
      </c>
    </row>
    <row r="28" spans="1:78" x14ac:dyDescent="0.15">
      <c r="A28" s="33">
        <v>5407</v>
      </c>
      <c r="B28" s="26">
        <v>42475</v>
      </c>
      <c r="C28" s="27" t="s">
        <v>377</v>
      </c>
      <c r="D28" s="68" t="s">
        <v>454</v>
      </c>
      <c r="E28" s="24"/>
      <c r="F28" s="24" t="s">
        <v>403</v>
      </c>
      <c r="G28" s="28">
        <v>42474</v>
      </c>
      <c r="H28" s="29" t="s">
        <v>175</v>
      </c>
      <c r="I28" s="29" t="s">
        <v>174</v>
      </c>
      <c r="J28" s="29"/>
      <c r="K28" s="24" t="s">
        <v>304</v>
      </c>
      <c r="L28" s="24" t="s">
        <v>523</v>
      </c>
      <c r="M28" s="81">
        <v>90.109090909090909</v>
      </c>
      <c r="N28" s="81">
        <v>39.809090909090905</v>
      </c>
      <c r="O28" s="24"/>
      <c r="P28" s="24"/>
      <c r="Q28" s="81"/>
      <c r="R28" s="25"/>
      <c r="S28" s="81"/>
      <c r="T28" s="25"/>
      <c r="U28" s="24"/>
      <c r="V28" s="24"/>
      <c r="W28" s="81"/>
      <c r="X28" s="24"/>
      <c r="Y28" s="24"/>
      <c r="Z28" s="25"/>
      <c r="AA28" s="24"/>
      <c r="AB28" s="25"/>
      <c r="AC28" s="24"/>
      <c r="AD28" s="24"/>
      <c r="AE28" s="24"/>
      <c r="AF28" s="81">
        <v>19.854545454545452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>
        <v>0</v>
      </c>
      <c r="AQ28" s="24" t="s">
        <v>404</v>
      </c>
      <c r="AR28" s="29" t="s">
        <v>174</v>
      </c>
      <c r="AS28" s="29"/>
      <c r="AT28" s="29"/>
      <c r="AU28" s="29" t="s">
        <v>382</v>
      </c>
      <c r="AV28" s="29">
        <v>10</v>
      </c>
      <c r="AW28" s="29"/>
      <c r="AX28" s="29"/>
      <c r="AY28" s="29"/>
      <c r="AZ28" s="29" t="s">
        <v>361</v>
      </c>
      <c r="BA28" s="24"/>
      <c r="BB28" s="29">
        <v>14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>
        <v>12</v>
      </c>
      <c r="BM28" s="29" t="s">
        <v>175</v>
      </c>
      <c r="BN28" s="29">
        <v>12</v>
      </c>
      <c r="BO28" s="29" t="s">
        <v>174</v>
      </c>
      <c r="BP28" s="29"/>
      <c r="BQ28" s="29"/>
      <c r="BR28" s="283"/>
      <c r="BS28" s="24"/>
      <c r="BT28" s="24"/>
      <c r="BU28" s="29"/>
      <c r="BV28" s="29" t="s">
        <v>174</v>
      </c>
      <c r="BW28" s="30"/>
      <c r="BX28" s="66"/>
      <c r="BY28" s="32" t="s">
        <v>603</v>
      </c>
      <c r="BZ28" t="s">
        <v>39</v>
      </c>
    </row>
    <row r="29" spans="1:78" x14ac:dyDescent="0.15">
      <c r="A29" s="33">
        <v>5319</v>
      </c>
      <c r="B29" s="26">
        <v>42475</v>
      </c>
      <c r="C29" s="27" t="s">
        <v>377</v>
      </c>
      <c r="D29" s="68" t="s">
        <v>454</v>
      </c>
      <c r="E29" s="24"/>
      <c r="F29" s="24" t="s">
        <v>403</v>
      </c>
      <c r="G29" s="28">
        <v>42474</v>
      </c>
      <c r="H29" s="29" t="s">
        <v>175</v>
      </c>
      <c r="I29" s="29" t="s">
        <v>174</v>
      </c>
      <c r="J29" s="29"/>
      <c r="K29" s="24" t="s">
        <v>305</v>
      </c>
      <c r="L29" s="24" t="s">
        <v>524</v>
      </c>
      <c r="M29" s="81">
        <v>89</v>
      </c>
      <c r="N29" s="81">
        <v>39.818181818181813</v>
      </c>
      <c r="O29" s="24"/>
      <c r="P29" s="25"/>
      <c r="Q29" s="81"/>
      <c r="R29" s="25"/>
      <c r="S29" s="81"/>
      <c r="T29" s="25"/>
      <c r="U29" s="24"/>
      <c r="V29" s="24"/>
      <c r="W29" s="81"/>
      <c r="X29" s="24"/>
      <c r="Y29" s="24"/>
      <c r="Z29" s="25"/>
      <c r="AA29" s="24"/>
      <c r="AB29" s="25"/>
      <c r="AC29" s="24"/>
      <c r="AD29" s="24"/>
      <c r="AE29" s="24"/>
      <c r="AF29" s="81">
        <v>2.1999998999999999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>
        <v>0</v>
      </c>
      <c r="AQ29" s="24" t="s">
        <v>404</v>
      </c>
      <c r="AR29" s="29" t="s">
        <v>174</v>
      </c>
      <c r="AS29" s="29"/>
      <c r="AT29" s="29"/>
      <c r="AU29" s="29" t="s">
        <v>382</v>
      </c>
      <c r="AV29" s="29">
        <v>14.2</v>
      </c>
      <c r="AW29" s="29"/>
      <c r="AX29" s="29"/>
      <c r="AY29" s="29"/>
      <c r="AZ29" s="29" t="s">
        <v>361</v>
      </c>
      <c r="BA29" s="24"/>
      <c r="BB29" s="29">
        <v>15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>
        <v>24</v>
      </c>
      <c r="BO29" s="29" t="s">
        <v>174</v>
      </c>
      <c r="BP29" s="29"/>
      <c r="BQ29" s="29"/>
      <c r="BR29" s="283"/>
      <c r="BS29" s="30"/>
      <c r="BT29" s="30"/>
      <c r="BU29" s="29"/>
      <c r="BV29" s="29" t="s">
        <v>174</v>
      </c>
      <c r="BW29" s="24"/>
      <c r="BY29" s="32" t="s">
        <v>604</v>
      </c>
      <c r="BZ29" t="s">
        <v>39</v>
      </c>
    </row>
    <row r="30" spans="1:78" x14ac:dyDescent="0.15">
      <c r="A30" s="33">
        <v>5941</v>
      </c>
      <c r="B30" s="26">
        <v>42476</v>
      </c>
      <c r="C30" s="27" t="s">
        <v>377</v>
      </c>
      <c r="D30" s="68" t="s">
        <v>454</v>
      </c>
      <c r="E30" s="24"/>
      <c r="F30" s="24" t="s">
        <v>403</v>
      </c>
      <c r="G30" s="28">
        <v>42474</v>
      </c>
      <c r="H30" s="29" t="s">
        <v>175</v>
      </c>
      <c r="I30" s="29" t="s">
        <v>174</v>
      </c>
      <c r="J30" s="29"/>
      <c r="K30" s="24" t="s">
        <v>306</v>
      </c>
      <c r="L30" s="24" t="s">
        <v>525</v>
      </c>
      <c r="M30" s="81">
        <v>87.1</v>
      </c>
      <c r="N30" s="81">
        <v>35.099999999999994</v>
      </c>
      <c r="O30" s="24"/>
      <c r="P30" s="25"/>
      <c r="Q30" s="81"/>
      <c r="R30" s="25"/>
      <c r="S30" s="81"/>
      <c r="T30" s="24"/>
      <c r="U30" s="24"/>
      <c r="V30" s="24"/>
      <c r="W30" s="81"/>
      <c r="X30" s="24"/>
      <c r="Y30" s="24"/>
      <c r="Z30" s="24"/>
      <c r="AA30" s="24"/>
      <c r="AB30" s="24"/>
      <c r="AC30" s="24"/>
      <c r="AD30" s="24"/>
      <c r="AE30" s="24"/>
      <c r="AF30" s="81">
        <v>19.299999999999997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>
        <v>0</v>
      </c>
      <c r="AQ30" s="24" t="s">
        <v>404</v>
      </c>
      <c r="AR30" s="29" t="s">
        <v>174</v>
      </c>
      <c r="AS30" s="29"/>
      <c r="AT30" s="29"/>
      <c r="AU30" s="29" t="s">
        <v>382</v>
      </c>
      <c r="AV30" s="29">
        <v>14.2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/>
      <c r="BO30" s="29" t="s">
        <v>174</v>
      </c>
      <c r="BP30" s="29"/>
      <c r="BQ30" s="29"/>
      <c r="BR30" s="283"/>
      <c r="BS30" s="24"/>
      <c r="BT30" s="24"/>
      <c r="BU30" s="29"/>
      <c r="BV30" s="29" t="s">
        <v>174</v>
      </c>
      <c r="BW30" s="24"/>
      <c r="BY30" s="67" t="s">
        <v>605</v>
      </c>
      <c r="BZ30" t="s">
        <v>39</v>
      </c>
    </row>
    <row r="31" spans="1:78" x14ac:dyDescent="0.15">
      <c r="A31" s="33">
        <v>2136</v>
      </c>
      <c r="B31" s="26">
        <v>42480</v>
      </c>
      <c r="C31" s="27" t="s">
        <v>377</v>
      </c>
      <c r="D31" s="68" t="s">
        <v>454</v>
      </c>
      <c r="E31" s="24"/>
      <c r="F31" s="24" t="s">
        <v>403</v>
      </c>
      <c r="G31" s="31">
        <v>42474</v>
      </c>
      <c r="H31" s="29" t="s">
        <v>175</v>
      </c>
      <c r="I31" s="29" t="s">
        <v>174</v>
      </c>
      <c r="J31" s="29"/>
      <c r="K31" s="24" t="s">
        <v>307</v>
      </c>
      <c r="L31" s="24" t="s">
        <v>526</v>
      </c>
      <c r="M31" s="81">
        <v>86.38</v>
      </c>
      <c r="N31" s="81">
        <v>35.099999999999994</v>
      </c>
      <c r="O31" s="24"/>
      <c r="P31" s="25"/>
      <c r="Q31" s="81"/>
      <c r="R31" s="25"/>
      <c r="S31" s="81"/>
      <c r="T31" s="25"/>
      <c r="U31" s="24"/>
      <c r="V31" s="24"/>
      <c r="W31" s="81"/>
      <c r="X31" s="24"/>
      <c r="Y31" s="24"/>
      <c r="Z31" s="24"/>
      <c r="AA31" s="24"/>
      <c r="AB31" s="24"/>
      <c r="AC31" s="24"/>
      <c r="AD31" s="24"/>
      <c r="AE31" s="24"/>
      <c r="AF31" s="81">
        <v>2.1727272727272999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>
        <v>0</v>
      </c>
      <c r="AQ31" s="24" t="s">
        <v>404</v>
      </c>
      <c r="AR31" s="29" t="s">
        <v>174</v>
      </c>
      <c r="AS31" s="29"/>
      <c r="AT31" s="29"/>
      <c r="AU31" s="29" t="s">
        <v>382</v>
      </c>
      <c r="AV31" s="29">
        <v>15</v>
      </c>
      <c r="AW31" s="29"/>
      <c r="AX31" s="29"/>
      <c r="AY31" s="29"/>
      <c r="AZ31" s="29" t="s">
        <v>174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74" t="s">
        <v>527</v>
      </c>
      <c r="BN31" s="29"/>
      <c r="BO31" s="29" t="s">
        <v>174</v>
      </c>
      <c r="BP31" s="29"/>
      <c r="BQ31" s="29"/>
      <c r="BR31" s="283"/>
      <c r="BS31" s="30" t="s">
        <v>528</v>
      </c>
      <c r="BT31" s="30" t="s">
        <v>195</v>
      </c>
      <c r="BU31" s="29">
        <v>30</v>
      </c>
      <c r="BV31" s="29" t="s">
        <v>174</v>
      </c>
      <c r="BW31" s="24"/>
      <c r="BY31" s="67" t="s">
        <v>76</v>
      </c>
      <c r="BZ31" t="s">
        <v>39</v>
      </c>
    </row>
    <row r="32" spans="1:78" x14ac:dyDescent="0.15">
      <c r="A32" s="33">
        <v>6339</v>
      </c>
      <c r="B32" s="26">
        <v>42476</v>
      </c>
      <c r="C32" s="27" t="s">
        <v>377</v>
      </c>
      <c r="D32" s="68" t="s">
        <v>454</v>
      </c>
      <c r="E32" s="24"/>
      <c r="F32" s="24" t="s">
        <v>403</v>
      </c>
      <c r="G32" s="31">
        <v>42474</v>
      </c>
      <c r="H32" s="74" t="s">
        <v>175</v>
      </c>
      <c r="I32" s="74" t="s">
        <v>174</v>
      </c>
      <c r="J32" s="29"/>
      <c r="K32" s="24" t="s">
        <v>419</v>
      </c>
      <c r="L32" s="68" t="s">
        <v>589</v>
      </c>
      <c r="M32" s="81">
        <v>120.11818181818181</v>
      </c>
      <c r="N32" s="81">
        <v>36.790909090909089</v>
      </c>
      <c r="O32" s="24"/>
      <c r="P32" s="24"/>
      <c r="Q32" s="81"/>
      <c r="R32" s="24"/>
      <c r="S32" s="81"/>
      <c r="T32" s="24"/>
      <c r="U32" s="24"/>
      <c r="V32" s="24"/>
      <c r="W32" s="81"/>
      <c r="X32" s="24"/>
      <c r="Y32" s="24"/>
      <c r="Z32" s="24"/>
      <c r="AA32" s="24"/>
      <c r="AB32" s="24"/>
      <c r="AC32" s="24"/>
      <c r="AD32" s="24"/>
      <c r="AE32" s="24"/>
      <c r="AF32" s="81">
        <v>27.25</v>
      </c>
      <c r="AG32" s="24"/>
      <c r="AH32" s="24"/>
      <c r="AI32" s="24"/>
      <c r="AJ32" s="24"/>
      <c r="AK32" s="24"/>
      <c r="AL32" s="24"/>
      <c r="AM32" s="24"/>
      <c r="AN32" s="24"/>
      <c r="AO32" s="24"/>
      <c r="AP32" s="24">
        <v>0</v>
      </c>
      <c r="AQ32" s="24" t="s">
        <v>404</v>
      </c>
      <c r="AR32" s="29" t="s">
        <v>174</v>
      </c>
      <c r="AS32" s="29"/>
      <c r="AT32" s="29"/>
      <c r="AU32" s="74" t="s">
        <v>382</v>
      </c>
      <c r="AV32" s="29">
        <v>6.8</v>
      </c>
      <c r="AW32" s="29"/>
      <c r="AX32" s="29"/>
      <c r="AY32" s="29"/>
      <c r="AZ32" s="29" t="s">
        <v>174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/>
      <c r="BO32" s="29" t="s">
        <v>174</v>
      </c>
      <c r="BP32" s="29"/>
      <c r="BQ32" s="29"/>
      <c r="BR32" s="283"/>
      <c r="BS32" s="30"/>
      <c r="BT32" s="30"/>
      <c r="BU32" s="29"/>
      <c r="BV32" s="29" t="s">
        <v>174</v>
      </c>
      <c r="BW32" s="24">
        <v>1</v>
      </c>
      <c r="BY32" s="32" t="s">
        <v>606</v>
      </c>
      <c r="BZ32" t="s">
        <v>452</v>
      </c>
    </row>
    <row r="33" spans="1:78" x14ac:dyDescent="0.15">
      <c r="A33" s="33">
        <v>5632</v>
      </c>
      <c r="B33" s="26">
        <v>42475</v>
      </c>
      <c r="C33" s="27" t="s">
        <v>377</v>
      </c>
      <c r="D33" s="68" t="s">
        <v>454</v>
      </c>
      <c r="E33" s="24"/>
      <c r="F33" s="24" t="s">
        <v>403</v>
      </c>
      <c r="G33" s="28">
        <v>42474</v>
      </c>
      <c r="H33" s="29" t="s">
        <v>175</v>
      </c>
      <c r="I33" s="29" t="s">
        <v>174</v>
      </c>
      <c r="J33" s="29"/>
      <c r="K33" s="68" t="s">
        <v>495</v>
      </c>
      <c r="L33" s="68" t="s">
        <v>529</v>
      </c>
      <c r="M33" s="81">
        <v>110.68</v>
      </c>
      <c r="N33" s="81">
        <v>37.090000000000003</v>
      </c>
      <c r="O33" s="24"/>
      <c r="P33" s="25"/>
      <c r="Q33" s="81"/>
      <c r="R33" s="25"/>
      <c r="S33" s="81"/>
      <c r="T33" s="24"/>
      <c r="U33" s="24"/>
      <c r="V33" s="24"/>
      <c r="W33" s="81"/>
      <c r="X33" s="24"/>
      <c r="Y33" s="24"/>
      <c r="Z33" s="24"/>
      <c r="AA33" s="24"/>
      <c r="AB33" s="24"/>
      <c r="AC33" s="24"/>
      <c r="AD33" s="24"/>
      <c r="AE33" s="24"/>
      <c r="AF33" s="81">
        <v>2.4545454545454999</v>
      </c>
      <c r="AG33" s="25"/>
      <c r="AH33" s="24"/>
      <c r="AI33" s="24"/>
      <c r="AJ33" s="24"/>
      <c r="AK33" s="24"/>
      <c r="AL33" s="24"/>
      <c r="AM33" s="24"/>
      <c r="AN33" s="24"/>
      <c r="AO33" s="24"/>
      <c r="AP33" s="24">
        <v>0</v>
      </c>
      <c r="AQ33" s="24" t="s">
        <v>404</v>
      </c>
      <c r="AR33" s="29" t="s">
        <v>174</v>
      </c>
      <c r="AS33" s="29"/>
      <c r="AT33" s="29"/>
      <c r="AU33" s="29" t="s">
        <v>382</v>
      </c>
      <c r="AV33" s="29">
        <v>10.199999999999999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12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83"/>
      <c r="BS33" s="24"/>
      <c r="BT33" s="24"/>
      <c r="BU33" s="29"/>
      <c r="BV33" s="29" t="s">
        <v>174</v>
      </c>
      <c r="BW33" s="68">
        <v>1</v>
      </c>
      <c r="BY33" s="32" t="s">
        <v>591</v>
      </c>
      <c r="BZ33" t="s">
        <v>39</v>
      </c>
    </row>
    <row r="34" spans="1:78" x14ac:dyDescent="0.15">
      <c r="A34" s="33">
        <v>4760</v>
      </c>
      <c r="B34" s="26">
        <v>42468</v>
      </c>
      <c r="C34" s="27" t="s">
        <v>377</v>
      </c>
      <c r="D34" s="68" t="s">
        <v>454</v>
      </c>
      <c r="E34" s="24"/>
      <c r="F34" s="24" t="s">
        <v>403</v>
      </c>
      <c r="G34" s="28">
        <v>42473</v>
      </c>
      <c r="H34" s="29" t="s">
        <v>175</v>
      </c>
      <c r="I34" s="29" t="s">
        <v>174</v>
      </c>
      <c r="J34" s="29"/>
      <c r="K34" s="24" t="s">
        <v>437</v>
      </c>
      <c r="L34" s="24" t="s">
        <v>498</v>
      </c>
      <c r="M34" s="81">
        <v>64.349999999999994</v>
      </c>
      <c r="N34" s="81">
        <v>35.880000000000003</v>
      </c>
      <c r="O34" s="24"/>
      <c r="P34" s="25"/>
      <c r="Q34" s="81"/>
      <c r="R34" s="25"/>
      <c r="S34" s="81"/>
      <c r="T34" s="25"/>
      <c r="U34" s="24"/>
      <c r="V34" s="24"/>
      <c r="W34" s="81"/>
      <c r="X34" s="24"/>
      <c r="Y34" s="24"/>
      <c r="Z34" s="24"/>
      <c r="AA34" s="24"/>
      <c r="AB34" s="25"/>
      <c r="AC34" s="24"/>
      <c r="AD34" s="24"/>
      <c r="AE34" s="24"/>
      <c r="AF34" s="81">
        <v>3.57</v>
      </c>
      <c r="AG34" s="25"/>
      <c r="AH34" s="24"/>
      <c r="AI34" s="24"/>
      <c r="AJ34" s="24"/>
      <c r="AK34" s="24"/>
      <c r="AL34" s="24"/>
      <c r="AM34" s="24"/>
      <c r="AN34" s="24"/>
      <c r="AO34" s="24"/>
      <c r="AP34" s="24">
        <v>0</v>
      </c>
      <c r="AQ34" s="24" t="s">
        <v>404</v>
      </c>
      <c r="AR34" s="29" t="s">
        <v>174</v>
      </c>
      <c r="AS34" s="29"/>
      <c r="AT34" s="29"/>
      <c r="AU34" s="29" t="s">
        <v>382</v>
      </c>
      <c r="AV34" s="29">
        <v>10</v>
      </c>
      <c r="AW34" s="29"/>
      <c r="AX34" s="29"/>
      <c r="AY34" s="29"/>
      <c r="AZ34" s="29" t="s">
        <v>174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29"/>
      <c r="BQ34" s="29"/>
      <c r="BR34" s="283"/>
      <c r="BS34" s="30"/>
      <c r="BT34" s="30"/>
      <c r="BU34" s="29"/>
      <c r="BV34" s="29" t="s">
        <v>174</v>
      </c>
      <c r="BW34" s="24">
        <v>1</v>
      </c>
      <c r="BY34" s="67" t="s">
        <v>76</v>
      </c>
      <c r="BZ34" t="s">
        <v>39</v>
      </c>
    </row>
    <row r="35" spans="1:78" x14ac:dyDescent="0.15">
      <c r="A35" s="33">
        <v>6121</v>
      </c>
      <c r="B35" s="26">
        <v>42476</v>
      </c>
      <c r="C35" s="27" t="s">
        <v>377</v>
      </c>
      <c r="D35" s="68" t="s">
        <v>454</v>
      </c>
      <c r="E35" s="24"/>
      <c r="F35" s="24" t="s">
        <v>403</v>
      </c>
      <c r="G35" s="28">
        <v>42277</v>
      </c>
      <c r="H35" s="29" t="s">
        <v>175</v>
      </c>
      <c r="I35" s="29" t="s">
        <v>174</v>
      </c>
      <c r="J35" s="29"/>
      <c r="K35" s="24" t="s">
        <v>594</v>
      </c>
      <c r="L35" s="24" t="s">
        <v>595</v>
      </c>
      <c r="M35" s="81">
        <v>104.99999999999999</v>
      </c>
      <c r="N35" s="81">
        <v>33.18181818181818</v>
      </c>
      <c r="O35" s="24"/>
      <c r="P35" s="25"/>
      <c r="Q35" s="81"/>
      <c r="R35" s="25"/>
      <c r="S35" s="81"/>
      <c r="T35" s="25"/>
      <c r="U35" s="24"/>
      <c r="V35" s="24"/>
      <c r="W35" s="81"/>
      <c r="X35" s="24"/>
      <c r="Y35" s="24"/>
      <c r="Z35" s="24"/>
      <c r="AA35" s="24"/>
      <c r="AB35" s="25"/>
      <c r="AC35" s="24"/>
      <c r="AD35" s="24"/>
      <c r="AE35" s="24"/>
      <c r="AF35" s="81">
        <v>24.999999999999996</v>
      </c>
      <c r="AG35" s="25"/>
      <c r="AH35" s="24"/>
      <c r="AI35" s="24"/>
      <c r="AJ35" s="24"/>
      <c r="AK35" s="24"/>
      <c r="AL35" s="24"/>
      <c r="AM35" s="24"/>
      <c r="AN35" s="24"/>
      <c r="AO35" s="24"/>
      <c r="AP35" s="24">
        <v>0</v>
      </c>
      <c r="AQ35" s="24" t="s">
        <v>404</v>
      </c>
      <c r="AR35" s="29" t="s">
        <v>174</v>
      </c>
      <c r="AS35" s="29"/>
      <c r="AT35" s="29"/>
      <c r="AU35" s="29" t="s">
        <v>382</v>
      </c>
      <c r="AV35" s="29">
        <v>15.5</v>
      </c>
      <c r="AW35" s="29"/>
      <c r="AX35" s="29"/>
      <c r="AY35" s="29"/>
      <c r="AZ35" s="29" t="s">
        <v>361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/>
      <c r="BO35" s="29" t="s">
        <v>174</v>
      </c>
      <c r="BP35" s="29">
        <v>239.89</v>
      </c>
      <c r="BQ35" s="29"/>
      <c r="BR35" s="283">
        <v>42551</v>
      </c>
      <c r="BS35" s="30"/>
      <c r="BT35" s="30"/>
      <c r="BU35" s="29"/>
      <c r="BV35" s="29" t="s">
        <v>174</v>
      </c>
      <c r="BW35" s="24"/>
      <c r="BY35" s="67" t="s">
        <v>607</v>
      </c>
      <c r="BZ35" t="s">
        <v>77</v>
      </c>
    </row>
    <row r="36" spans="1:78" x14ac:dyDescent="0.15">
      <c r="A36" s="33">
        <v>86</v>
      </c>
      <c r="B36" s="26">
        <v>42476</v>
      </c>
      <c r="C36" s="27" t="s">
        <v>377</v>
      </c>
      <c r="D36" s="68" t="s">
        <v>454</v>
      </c>
      <c r="E36" s="24"/>
      <c r="F36" s="24" t="s">
        <v>403</v>
      </c>
      <c r="G36" s="28">
        <v>42452</v>
      </c>
      <c r="H36" s="29" t="s">
        <v>175</v>
      </c>
      <c r="I36" s="29" t="s">
        <v>174</v>
      </c>
      <c r="J36" s="29"/>
      <c r="K36" s="24" t="s">
        <v>597</v>
      </c>
      <c r="L36" s="24" t="s">
        <v>598</v>
      </c>
      <c r="M36" s="81">
        <v>89</v>
      </c>
      <c r="N36" s="81">
        <v>39.818181818181813</v>
      </c>
      <c r="O36" s="24"/>
      <c r="P36" s="25"/>
      <c r="Q36" s="81"/>
      <c r="R36" s="25"/>
      <c r="S36" s="81"/>
      <c r="T36" s="25"/>
      <c r="U36" s="24"/>
      <c r="V36" s="24"/>
      <c r="W36" s="81"/>
      <c r="X36" s="24"/>
      <c r="Y36" s="24"/>
      <c r="Z36" s="24"/>
      <c r="AA36" s="24"/>
      <c r="AB36" s="25"/>
      <c r="AC36" s="24"/>
      <c r="AD36" s="24"/>
      <c r="AE36" s="24"/>
      <c r="AF36" s="81">
        <v>2.1999998999999999</v>
      </c>
      <c r="AG36" s="25"/>
      <c r="AH36" s="24"/>
      <c r="AI36" s="24"/>
      <c r="AJ36" s="24"/>
      <c r="AK36" s="24"/>
      <c r="AL36" s="24"/>
      <c r="AM36" s="24"/>
      <c r="AN36" s="24"/>
      <c r="AO36" s="24"/>
      <c r="AP36" s="24">
        <v>0</v>
      </c>
      <c r="AQ36" s="24" t="s">
        <v>404</v>
      </c>
      <c r="AR36" s="29" t="s">
        <v>174</v>
      </c>
      <c r="AS36" s="29"/>
      <c r="AT36" s="29"/>
      <c r="AU36" s="29" t="s">
        <v>382</v>
      </c>
      <c r="AV36" s="29">
        <v>14.2</v>
      </c>
      <c r="AW36" s="29"/>
      <c r="AX36" s="29"/>
      <c r="AY36" s="29"/>
      <c r="AZ36" s="29" t="s">
        <v>174</v>
      </c>
      <c r="BA36" s="24"/>
      <c r="BB36" s="29">
        <v>0</v>
      </c>
      <c r="BC36" s="29">
        <v>0</v>
      </c>
      <c r="BD36" s="29">
        <v>0</v>
      </c>
      <c r="BE36" s="29">
        <v>15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174</v>
      </c>
      <c r="BN36" s="29"/>
      <c r="BO36" s="29" t="s">
        <v>174</v>
      </c>
      <c r="BP36" s="29"/>
      <c r="BQ36" s="29"/>
      <c r="BR36" s="283"/>
      <c r="BS36" s="30"/>
      <c r="BT36" s="30"/>
      <c r="BU36" s="29"/>
      <c r="BV36" s="29" t="s">
        <v>174</v>
      </c>
      <c r="BW36" s="24">
        <v>1</v>
      </c>
      <c r="BY36" s="67" t="s">
        <v>608</v>
      </c>
      <c r="BZ36" t="s">
        <v>39</v>
      </c>
    </row>
    <row r="37" spans="1:78" x14ac:dyDescent="0.15">
      <c r="A37" s="33">
        <v>6076</v>
      </c>
      <c r="B37" s="26">
        <v>42468</v>
      </c>
      <c r="C37" s="27" t="s">
        <v>377</v>
      </c>
      <c r="D37" s="68" t="s">
        <v>454</v>
      </c>
      <c r="E37" s="24"/>
      <c r="F37" s="24" t="s">
        <v>417</v>
      </c>
      <c r="G37" s="28">
        <v>42433</v>
      </c>
      <c r="H37" s="29" t="s">
        <v>175</v>
      </c>
      <c r="I37" s="29" t="s">
        <v>174</v>
      </c>
      <c r="J37" s="29"/>
      <c r="K37" s="24" t="s">
        <v>296</v>
      </c>
      <c r="L37" s="24" t="s">
        <v>582</v>
      </c>
      <c r="M37" s="81">
        <v>76.536363636363632</v>
      </c>
      <c r="N37" s="81">
        <v>36.890909090909084</v>
      </c>
      <c r="O37" s="24"/>
      <c r="P37" s="25"/>
      <c r="Q37" s="81"/>
      <c r="R37" s="25"/>
      <c r="S37" s="81"/>
      <c r="T37" s="25"/>
      <c r="U37" s="24"/>
      <c r="V37" s="24"/>
      <c r="W37" s="81">
        <v>23.99999991</v>
      </c>
      <c r="X37" s="25"/>
      <c r="Y37" s="24"/>
      <c r="Z37" s="25"/>
      <c r="AA37" s="24"/>
      <c r="AB37" s="25"/>
      <c r="AC37" s="24"/>
      <c r="AD37" s="24"/>
      <c r="AE37" s="24"/>
      <c r="AF37" s="81"/>
      <c r="AG37" s="25"/>
      <c r="AH37" s="24"/>
      <c r="AI37" s="24"/>
      <c r="AJ37" s="24"/>
      <c r="AK37" s="24"/>
      <c r="AL37" s="24"/>
      <c r="AM37" s="24"/>
      <c r="AN37" s="24"/>
      <c r="AO37" s="24"/>
      <c r="AP37" s="24">
        <v>0</v>
      </c>
      <c r="AQ37" s="24" t="s">
        <v>418</v>
      </c>
      <c r="AR37" s="29" t="s">
        <v>174</v>
      </c>
      <c r="AS37" s="29"/>
      <c r="AT37" s="29"/>
      <c r="AU37" s="29" t="s">
        <v>382</v>
      </c>
      <c r="AV37" s="29">
        <v>14.2</v>
      </c>
      <c r="AW37" s="29"/>
      <c r="AX37" s="29"/>
      <c r="AY37" s="29"/>
      <c r="AZ37" s="29" t="s">
        <v>361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174</v>
      </c>
      <c r="BN37" s="29"/>
      <c r="BO37" s="29" t="s">
        <v>174</v>
      </c>
      <c r="BP37" s="29"/>
      <c r="BQ37" s="29"/>
      <c r="BR37" s="283"/>
      <c r="BS37" s="30"/>
      <c r="BT37" s="30"/>
      <c r="BU37" s="29"/>
      <c r="BV37" s="29" t="s">
        <v>174</v>
      </c>
      <c r="BW37" s="24"/>
      <c r="BX37" s="66"/>
      <c r="BY37" s="67" t="s">
        <v>76</v>
      </c>
      <c r="BZ37" t="s">
        <v>77</v>
      </c>
    </row>
    <row r="38" spans="1:78" x14ac:dyDescent="0.15">
      <c r="A38" s="33">
        <v>5551</v>
      </c>
      <c r="B38" s="26">
        <v>42468</v>
      </c>
      <c r="C38" s="27" t="s">
        <v>377</v>
      </c>
      <c r="D38" s="68" t="s">
        <v>454</v>
      </c>
      <c r="E38" s="24"/>
      <c r="F38" s="24" t="s">
        <v>417</v>
      </c>
      <c r="G38" s="31">
        <v>42262</v>
      </c>
      <c r="H38" s="29" t="s">
        <v>175</v>
      </c>
      <c r="I38" s="29" t="s">
        <v>174</v>
      </c>
      <c r="J38" s="29"/>
      <c r="K38" s="24" t="s">
        <v>297</v>
      </c>
      <c r="L38" s="24" t="s">
        <v>511</v>
      </c>
      <c r="M38" s="81">
        <v>90.5</v>
      </c>
      <c r="N38" s="81">
        <v>38.572727272727271</v>
      </c>
      <c r="O38" s="24"/>
      <c r="P38" s="25"/>
      <c r="Q38" s="81"/>
      <c r="R38" s="25"/>
      <c r="S38" s="81"/>
      <c r="T38" s="25"/>
      <c r="U38" s="24"/>
      <c r="V38" s="24"/>
      <c r="W38" s="81">
        <v>23.272727272727</v>
      </c>
      <c r="X38" s="24"/>
      <c r="Y38" s="24"/>
      <c r="Z38" s="24"/>
      <c r="AA38" s="24"/>
      <c r="AB38" s="24"/>
      <c r="AC38" s="24"/>
      <c r="AD38" s="24"/>
      <c r="AE38" s="24"/>
      <c r="AF38" s="81"/>
      <c r="AG38" s="25"/>
      <c r="AH38" s="24"/>
      <c r="AI38" s="24"/>
      <c r="AJ38" s="24"/>
      <c r="AK38" s="24"/>
      <c r="AL38" s="24"/>
      <c r="AM38" s="24"/>
      <c r="AN38" s="24"/>
      <c r="AO38" s="24"/>
      <c r="AP38" s="24">
        <v>0</v>
      </c>
      <c r="AQ38" s="24" t="s">
        <v>418</v>
      </c>
      <c r="AR38" s="29" t="s">
        <v>174</v>
      </c>
      <c r="AS38" s="29"/>
      <c r="AT38" s="29"/>
      <c r="AU38" s="29" t="s">
        <v>382</v>
      </c>
      <c r="AV38" s="29">
        <v>9.5</v>
      </c>
      <c r="AW38" s="29"/>
      <c r="AX38" s="29"/>
      <c r="AY38" s="29"/>
      <c r="AZ38" s="29" t="s">
        <v>174</v>
      </c>
      <c r="BA38" s="24"/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29" t="s">
        <v>174</v>
      </c>
      <c r="BN38" s="29"/>
      <c r="BO38" s="29" t="s">
        <v>174</v>
      </c>
      <c r="BP38" s="29"/>
      <c r="BQ38" s="29"/>
      <c r="BR38" s="283"/>
      <c r="BS38" s="24"/>
      <c r="BT38" s="24"/>
      <c r="BU38" s="29"/>
      <c r="BV38" s="29" t="s">
        <v>174</v>
      </c>
      <c r="BW38" s="68">
        <v>1</v>
      </c>
      <c r="BX38" s="66"/>
      <c r="BY38" s="67" t="s">
        <v>76</v>
      </c>
      <c r="BZ38" t="s">
        <v>77</v>
      </c>
    </row>
    <row r="39" spans="1:78" x14ac:dyDescent="0.15">
      <c r="A39" s="33">
        <v>5589</v>
      </c>
      <c r="B39" s="26">
        <v>42475</v>
      </c>
      <c r="C39" s="27" t="s">
        <v>377</v>
      </c>
      <c r="D39" s="68" t="s">
        <v>454</v>
      </c>
      <c r="E39" s="24"/>
      <c r="F39" s="24" t="s">
        <v>417</v>
      </c>
      <c r="G39" s="28">
        <v>42474</v>
      </c>
      <c r="H39" s="29" t="s">
        <v>175</v>
      </c>
      <c r="I39" s="29" t="s">
        <v>174</v>
      </c>
      <c r="J39" s="29"/>
      <c r="K39" s="24" t="s">
        <v>298</v>
      </c>
      <c r="L39" s="68" t="s">
        <v>512</v>
      </c>
      <c r="M39" s="81">
        <v>70.86363636363636</v>
      </c>
      <c r="N39" s="81">
        <v>36.11818181818181</v>
      </c>
      <c r="O39" s="24"/>
      <c r="P39" s="24"/>
      <c r="Q39" s="81"/>
      <c r="R39" s="24"/>
      <c r="S39" s="81"/>
      <c r="T39" s="24"/>
      <c r="U39" s="24"/>
      <c r="V39" s="24"/>
      <c r="W39" s="81">
        <v>31.299999999999997</v>
      </c>
      <c r="X39" s="24"/>
      <c r="Y39" s="24"/>
      <c r="Z39" s="24"/>
      <c r="AA39" s="24"/>
      <c r="AB39" s="24"/>
      <c r="AC39" s="24"/>
      <c r="AD39" s="24"/>
      <c r="AE39" s="24"/>
      <c r="AF39" s="81"/>
      <c r="AG39" s="24"/>
      <c r="AH39" s="24"/>
      <c r="AI39" s="24"/>
      <c r="AJ39" s="24"/>
      <c r="AK39" s="24"/>
      <c r="AL39" s="24"/>
      <c r="AM39" s="24"/>
      <c r="AN39" s="24"/>
      <c r="AO39" s="24"/>
      <c r="AP39" s="24">
        <v>0</v>
      </c>
      <c r="AQ39" s="24" t="s">
        <v>418</v>
      </c>
      <c r="AR39" s="29" t="s">
        <v>174</v>
      </c>
      <c r="AS39" s="29"/>
      <c r="AT39" s="29"/>
      <c r="AU39" s="29" t="s">
        <v>382</v>
      </c>
      <c r="AV39" s="29">
        <v>14</v>
      </c>
      <c r="AW39" s="29"/>
      <c r="AX39" s="29"/>
      <c r="AY39" s="29"/>
      <c r="AZ39" s="29" t="s">
        <v>174</v>
      </c>
      <c r="BA39" s="24"/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29" t="s">
        <v>174</v>
      </c>
      <c r="BN39" s="29"/>
      <c r="BO39" s="29" t="s">
        <v>174</v>
      </c>
      <c r="BP39" s="29"/>
      <c r="BQ39" s="29"/>
      <c r="BR39" s="283"/>
      <c r="BS39" s="30"/>
      <c r="BT39" s="30"/>
      <c r="BU39" s="29"/>
      <c r="BV39" s="29" t="s">
        <v>174</v>
      </c>
      <c r="BW39" s="24">
        <v>1</v>
      </c>
      <c r="BX39" s="66"/>
      <c r="BY39" s="32" t="s">
        <v>609</v>
      </c>
      <c r="BZ39" t="s">
        <v>39</v>
      </c>
    </row>
    <row r="40" spans="1:78" x14ac:dyDescent="0.15">
      <c r="A40" s="33">
        <v>243</v>
      </c>
      <c r="B40" s="26">
        <v>42475</v>
      </c>
      <c r="C40" s="27" t="s">
        <v>377</v>
      </c>
      <c r="D40" s="68" t="s">
        <v>454</v>
      </c>
      <c r="E40" s="24"/>
      <c r="F40" s="24" t="s">
        <v>417</v>
      </c>
      <c r="G40" s="28">
        <v>42474</v>
      </c>
      <c r="H40" s="29" t="s">
        <v>175</v>
      </c>
      <c r="I40" s="29" t="s">
        <v>174</v>
      </c>
      <c r="J40" s="29"/>
      <c r="K40" s="24" t="s">
        <v>299</v>
      </c>
      <c r="L40" s="24" t="s">
        <v>446</v>
      </c>
      <c r="M40" s="81">
        <v>95.663636363636357</v>
      </c>
      <c r="N40" s="81">
        <v>37.763636363636358</v>
      </c>
      <c r="O40" s="24"/>
      <c r="P40" s="25"/>
      <c r="Q40" s="81"/>
      <c r="R40" s="25"/>
      <c r="S40" s="81"/>
      <c r="T40" s="24"/>
      <c r="U40" s="24"/>
      <c r="V40" s="24"/>
      <c r="W40" s="81">
        <v>26.799999999999997</v>
      </c>
      <c r="X40" s="24"/>
      <c r="Y40" s="24"/>
      <c r="Z40" s="24"/>
      <c r="AA40" s="24"/>
      <c r="AB40" s="24"/>
      <c r="AC40" s="24"/>
      <c r="AD40" s="24"/>
      <c r="AE40" s="24"/>
      <c r="AF40" s="81"/>
      <c r="AG40" s="25"/>
      <c r="AH40" s="24"/>
      <c r="AI40" s="24"/>
      <c r="AJ40" s="24"/>
      <c r="AK40" s="24"/>
      <c r="AL40" s="24"/>
      <c r="AM40" s="24"/>
      <c r="AN40" s="24"/>
      <c r="AO40" s="24"/>
      <c r="AP40" s="24">
        <v>0</v>
      </c>
      <c r="AQ40" s="24" t="s">
        <v>418</v>
      </c>
      <c r="AR40" s="29" t="s">
        <v>174</v>
      </c>
      <c r="AS40" s="29"/>
      <c r="AT40" s="29"/>
      <c r="AU40" s="29" t="s">
        <v>382</v>
      </c>
      <c r="AV40" s="29">
        <v>11.6</v>
      </c>
      <c r="AW40" s="29"/>
      <c r="AX40" s="29"/>
      <c r="AY40" s="29"/>
      <c r="AZ40" s="29" t="s">
        <v>174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174</v>
      </c>
      <c r="BN40" s="29"/>
      <c r="BO40" s="29" t="s">
        <v>174</v>
      </c>
      <c r="BP40" s="29"/>
      <c r="BQ40" s="29"/>
      <c r="BR40" s="283"/>
      <c r="BS40" s="30"/>
      <c r="BT40" s="24"/>
      <c r="BU40" s="29"/>
      <c r="BV40" s="29" t="s">
        <v>174</v>
      </c>
      <c r="BW40" s="24"/>
      <c r="BY40" s="32" t="s">
        <v>610</v>
      </c>
      <c r="BZ40" t="s">
        <v>39</v>
      </c>
    </row>
    <row r="41" spans="1:78" x14ac:dyDescent="0.15">
      <c r="A41" s="33">
        <v>5771</v>
      </c>
      <c r="B41" s="26">
        <v>42475</v>
      </c>
      <c r="C41" s="27" t="s">
        <v>377</v>
      </c>
      <c r="D41" s="68" t="s">
        <v>454</v>
      </c>
      <c r="E41" s="24"/>
      <c r="F41" s="24" t="s">
        <v>417</v>
      </c>
      <c r="G41" s="28">
        <v>42247</v>
      </c>
      <c r="H41" s="29" t="s">
        <v>175</v>
      </c>
      <c r="I41" s="29" t="s">
        <v>174</v>
      </c>
      <c r="J41" s="29"/>
      <c r="K41" s="24" t="s">
        <v>300</v>
      </c>
      <c r="L41" s="24" t="s">
        <v>517</v>
      </c>
      <c r="M41" s="81">
        <v>99.5</v>
      </c>
      <c r="N41" s="81">
        <v>41.9</v>
      </c>
      <c r="O41" s="24" t="s">
        <v>518</v>
      </c>
      <c r="P41" s="25">
        <v>1000</v>
      </c>
      <c r="Q41" s="81">
        <v>42.599999999999994</v>
      </c>
      <c r="R41" s="25">
        <v>15</v>
      </c>
      <c r="S41" s="81">
        <v>4.8181818181817997</v>
      </c>
      <c r="T41" s="25"/>
      <c r="U41" s="24"/>
      <c r="V41" s="24"/>
      <c r="W41" s="81">
        <v>27.954545454545453</v>
      </c>
      <c r="X41" s="24"/>
      <c r="Y41" s="24"/>
      <c r="Z41" s="24"/>
      <c r="AA41" s="24"/>
      <c r="AB41" s="24"/>
      <c r="AC41" s="24"/>
      <c r="AD41" s="24"/>
      <c r="AE41" s="24"/>
      <c r="AF41" s="81"/>
      <c r="AG41" s="25"/>
      <c r="AH41" s="24"/>
      <c r="AI41" s="24"/>
      <c r="AJ41" s="24"/>
      <c r="AK41" s="24"/>
      <c r="AL41" s="24"/>
      <c r="AM41" s="24"/>
      <c r="AN41" s="24"/>
      <c r="AO41" s="24"/>
      <c r="AP41" s="24">
        <v>0</v>
      </c>
      <c r="AQ41" s="24" t="s">
        <v>418</v>
      </c>
      <c r="AR41" s="29" t="s">
        <v>174</v>
      </c>
      <c r="AS41" s="29"/>
      <c r="AT41" s="29"/>
      <c r="AU41" s="29" t="s">
        <v>382</v>
      </c>
      <c r="AV41" s="29">
        <v>12</v>
      </c>
      <c r="AW41" s="29"/>
      <c r="AX41" s="29"/>
      <c r="AY41" s="29"/>
      <c r="AZ41" s="29" t="s">
        <v>361</v>
      </c>
      <c r="BA41" s="24"/>
      <c r="BB41" s="29">
        <v>0</v>
      </c>
      <c r="BC41" s="29">
        <v>0</v>
      </c>
      <c r="BD41" s="29">
        <v>7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/>
      <c r="BO41" s="29" t="s">
        <v>174</v>
      </c>
      <c r="BP41" s="29"/>
      <c r="BQ41" s="29"/>
      <c r="BR41" s="283"/>
      <c r="BS41" s="24"/>
      <c r="BT41" s="24"/>
      <c r="BU41" s="29"/>
      <c r="BV41" s="29" t="s">
        <v>174</v>
      </c>
      <c r="BW41" s="24"/>
      <c r="BY41" s="32" t="s">
        <v>519</v>
      </c>
      <c r="BZ41" t="s">
        <v>77</v>
      </c>
    </row>
    <row r="42" spans="1:78" x14ac:dyDescent="0.15">
      <c r="A42" s="33">
        <v>5269</v>
      </c>
      <c r="B42" s="26">
        <v>42480</v>
      </c>
      <c r="C42" s="27" t="s">
        <v>377</v>
      </c>
      <c r="D42" s="68" t="s">
        <v>454</v>
      </c>
      <c r="E42" s="24"/>
      <c r="F42" s="24" t="s">
        <v>417</v>
      </c>
      <c r="G42" s="28">
        <v>42474</v>
      </c>
      <c r="H42" s="29" t="s">
        <v>175</v>
      </c>
      <c r="I42" s="29" t="s">
        <v>174</v>
      </c>
      <c r="J42" s="29"/>
      <c r="K42" s="24" t="s">
        <v>301</v>
      </c>
      <c r="L42" s="24" t="s">
        <v>520</v>
      </c>
      <c r="M42" s="81">
        <v>95.1</v>
      </c>
      <c r="N42" s="81">
        <v>43.690909090909088</v>
      </c>
      <c r="O42" s="24"/>
      <c r="P42" s="25"/>
      <c r="Q42" s="81"/>
      <c r="R42" s="25"/>
      <c r="S42" s="81"/>
      <c r="T42" s="25"/>
      <c r="U42" s="24"/>
      <c r="V42" s="24"/>
      <c r="W42" s="81">
        <v>21.9999991</v>
      </c>
      <c r="X42" s="25"/>
      <c r="Y42" s="24"/>
      <c r="Z42" s="25"/>
      <c r="AA42" s="24"/>
      <c r="AB42" s="25"/>
      <c r="AC42" s="24"/>
      <c r="AD42" s="24"/>
      <c r="AE42" s="24"/>
      <c r="AF42" s="81"/>
      <c r="AG42" s="25"/>
      <c r="AH42" s="24"/>
      <c r="AI42" s="24"/>
      <c r="AJ42" s="24"/>
      <c r="AK42" s="24"/>
      <c r="AL42" s="24"/>
      <c r="AM42" s="24"/>
      <c r="AN42" s="24"/>
      <c r="AO42" s="24"/>
      <c r="AP42" s="24">
        <v>0</v>
      </c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12.65</v>
      </c>
      <c r="AW42" s="29"/>
      <c r="AX42" s="29"/>
      <c r="AY42" s="29"/>
      <c r="AZ42" s="29" t="s">
        <v>361</v>
      </c>
      <c r="BA42" s="24"/>
      <c r="BB42" s="29">
        <v>5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>
        <v>12</v>
      </c>
      <c r="BO42" s="29" t="s">
        <v>174</v>
      </c>
      <c r="BP42" s="29"/>
      <c r="BQ42" s="29"/>
      <c r="BR42" s="283"/>
      <c r="BS42" s="24"/>
      <c r="BT42" s="24"/>
      <c r="BU42" s="29"/>
      <c r="BV42" s="29" t="s">
        <v>174</v>
      </c>
      <c r="BW42" s="24"/>
      <c r="BX42" s="66"/>
      <c r="BY42" s="67" t="s">
        <v>76</v>
      </c>
      <c r="BZ42" t="s">
        <v>39</v>
      </c>
    </row>
    <row r="43" spans="1:78" x14ac:dyDescent="0.15">
      <c r="A43" s="33">
        <v>932</v>
      </c>
      <c r="B43" s="26">
        <v>42475</v>
      </c>
      <c r="C43" s="27" t="s">
        <v>377</v>
      </c>
      <c r="D43" s="68" t="s">
        <v>454</v>
      </c>
      <c r="E43" s="24"/>
      <c r="F43" s="24" t="s">
        <v>417</v>
      </c>
      <c r="G43" s="28">
        <v>42475</v>
      </c>
      <c r="H43" s="29" t="s">
        <v>175</v>
      </c>
      <c r="I43" s="29" t="s">
        <v>174</v>
      </c>
      <c r="J43" s="29"/>
      <c r="K43" s="24" t="s">
        <v>303</v>
      </c>
      <c r="L43" s="24" t="s">
        <v>522</v>
      </c>
      <c r="M43" s="81">
        <v>101.18181818181817</v>
      </c>
      <c r="N43" s="81">
        <v>35.818181818181813</v>
      </c>
      <c r="O43" s="24"/>
      <c r="P43" s="25"/>
      <c r="Q43" s="81"/>
      <c r="R43" s="25"/>
      <c r="S43" s="81"/>
      <c r="T43" s="25"/>
      <c r="U43" s="24"/>
      <c r="V43" s="24"/>
      <c r="W43" s="81">
        <v>21.363636363636363</v>
      </c>
      <c r="X43" s="24"/>
      <c r="Y43" s="24"/>
      <c r="Z43" s="24"/>
      <c r="AA43" s="24"/>
      <c r="AB43" s="24"/>
      <c r="AC43" s="24"/>
      <c r="AD43" s="24"/>
      <c r="AE43" s="24"/>
      <c r="AF43" s="81"/>
      <c r="AG43" s="25"/>
      <c r="AH43" s="24"/>
      <c r="AI43" s="24"/>
      <c r="AJ43" s="24"/>
      <c r="AK43" s="24"/>
      <c r="AL43" s="24"/>
      <c r="AM43" s="24"/>
      <c r="AN43" s="24"/>
      <c r="AO43" s="24"/>
      <c r="AP43" s="24">
        <v>0</v>
      </c>
      <c r="AQ43" s="24" t="s">
        <v>418</v>
      </c>
      <c r="AR43" s="29" t="s">
        <v>174</v>
      </c>
      <c r="AS43" s="29"/>
      <c r="AT43" s="29"/>
      <c r="AU43" s="29" t="s">
        <v>382</v>
      </c>
      <c r="AV43" s="29">
        <v>6.8</v>
      </c>
      <c r="AW43" s="29"/>
      <c r="AX43" s="29"/>
      <c r="AY43" s="29"/>
      <c r="AZ43" s="29" t="s">
        <v>174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/>
      <c r="BO43" s="29" t="s">
        <v>174</v>
      </c>
      <c r="BP43" s="29"/>
      <c r="BQ43" s="29"/>
      <c r="BR43" s="283"/>
      <c r="BS43" s="24"/>
      <c r="BT43" s="24"/>
      <c r="BU43" s="29"/>
      <c r="BV43" s="29" t="s">
        <v>174</v>
      </c>
      <c r="BW43" s="24"/>
      <c r="BY43" s="32" t="s">
        <v>611</v>
      </c>
      <c r="BZ43" t="s">
        <v>39</v>
      </c>
    </row>
    <row r="44" spans="1:78" x14ac:dyDescent="0.15">
      <c r="A44" s="33">
        <v>5409</v>
      </c>
      <c r="B44" s="26">
        <v>42475</v>
      </c>
      <c r="C44" s="27" t="s">
        <v>377</v>
      </c>
      <c r="D44" s="68" t="s">
        <v>454</v>
      </c>
      <c r="E44" s="24"/>
      <c r="F44" s="24" t="s">
        <v>417</v>
      </c>
      <c r="G44" s="26">
        <v>42474</v>
      </c>
      <c r="H44" s="29" t="s">
        <v>175</v>
      </c>
      <c r="I44" s="29" t="s">
        <v>174</v>
      </c>
      <c r="J44" s="29"/>
      <c r="K44" s="24" t="s">
        <v>304</v>
      </c>
      <c r="L44" s="24" t="s">
        <v>523</v>
      </c>
      <c r="M44" s="81">
        <v>89.772727272727266</v>
      </c>
      <c r="N44" s="81">
        <v>42.1</v>
      </c>
      <c r="O44" s="24"/>
      <c r="P44" s="25"/>
      <c r="Q44" s="81"/>
      <c r="R44" s="25"/>
      <c r="S44" s="81"/>
      <c r="T44" s="24"/>
      <c r="U44" s="24"/>
      <c r="V44" s="24"/>
      <c r="W44" s="81">
        <v>27.336363636363636</v>
      </c>
      <c r="X44" s="24"/>
      <c r="Y44" s="24"/>
      <c r="Z44" s="24"/>
      <c r="AA44" s="24"/>
      <c r="AB44" s="24"/>
      <c r="AC44" s="24"/>
      <c r="AD44" s="24"/>
      <c r="AE44" s="24"/>
      <c r="AF44" s="81"/>
      <c r="AG44" s="25"/>
      <c r="AH44" s="24"/>
      <c r="AI44" s="24"/>
      <c r="AJ44" s="24"/>
      <c r="AK44" s="24"/>
      <c r="AL44" s="24"/>
      <c r="AM44" s="24"/>
      <c r="AN44" s="24"/>
      <c r="AO44" s="24"/>
      <c r="AP44" s="24">
        <v>0</v>
      </c>
      <c r="AQ44" s="24" t="s">
        <v>418</v>
      </c>
      <c r="AR44" s="29" t="s">
        <v>174</v>
      </c>
      <c r="AS44" s="29"/>
      <c r="AT44" s="29"/>
      <c r="AU44" s="29" t="s">
        <v>382</v>
      </c>
      <c r="AV44" s="29">
        <v>10</v>
      </c>
      <c r="AW44" s="29"/>
      <c r="AX44" s="29"/>
      <c r="AY44" s="29"/>
      <c r="AZ44" s="29" t="s">
        <v>361</v>
      </c>
      <c r="BA44" s="24"/>
      <c r="BB44" s="29">
        <v>14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>
        <v>12</v>
      </c>
      <c r="BM44" s="29" t="s">
        <v>175</v>
      </c>
      <c r="BN44" s="29">
        <v>12</v>
      </c>
      <c r="BO44" s="29" t="s">
        <v>174</v>
      </c>
      <c r="BP44" s="29"/>
      <c r="BQ44" s="29"/>
      <c r="BR44" s="283"/>
      <c r="BS44" s="24"/>
      <c r="BT44" s="24"/>
      <c r="BU44" s="29"/>
      <c r="BV44" s="29" t="s">
        <v>174</v>
      </c>
      <c r="BW44" s="24"/>
      <c r="BX44" s="66"/>
      <c r="BY44" s="67" t="s">
        <v>612</v>
      </c>
      <c r="BZ44" t="s">
        <v>39</v>
      </c>
    </row>
    <row r="45" spans="1:78" x14ac:dyDescent="0.15">
      <c r="A45" s="33">
        <v>5321</v>
      </c>
      <c r="B45" s="26">
        <v>42475</v>
      </c>
      <c r="C45" s="27" t="s">
        <v>377</v>
      </c>
      <c r="D45" s="68" t="s">
        <v>454</v>
      </c>
      <c r="E45" s="24"/>
      <c r="F45" s="24" t="s">
        <v>417</v>
      </c>
      <c r="G45" s="28">
        <v>42474</v>
      </c>
      <c r="H45" s="29" t="s">
        <v>175</v>
      </c>
      <c r="I45" s="29" t="s">
        <v>174</v>
      </c>
      <c r="J45" s="29"/>
      <c r="K45" s="24" t="s">
        <v>305</v>
      </c>
      <c r="L45" s="24" t="s">
        <v>524</v>
      </c>
      <c r="M45" s="81">
        <v>89</v>
      </c>
      <c r="N45" s="81">
        <v>42.9</v>
      </c>
      <c r="O45" s="24"/>
      <c r="P45" s="25"/>
      <c r="Q45" s="81"/>
      <c r="R45" s="25"/>
      <c r="S45" s="81"/>
      <c r="T45" s="25"/>
      <c r="U45" s="24"/>
      <c r="V45" s="24"/>
      <c r="W45" s="81">
        <v>27.9</v>
      </c>
      <c r="X45" s="24"/>
      <c r="Y45" s="24"/>
      <c r="Z45" s="25"/>
      <c r="AA45" s="24"/>
      <c r="AB45" s="25"/>
      <c r="AC45" s="24"/>
      <c r="AD45" s="24"/>
      <c r="AE45" s="24"/>
      <c r="AF45" s="81"/>
      <c r="AG45" s="25"/>
      <c r="AH45" s="24"/>
      <c r="AI45" s="24"/>
      <c r="AJ45" s="24"/>
      <c r="AK45" s="24"/>
      <c r="AL45" s="24"/>
      <c r="AM45" s="24"/>
      <c r="AN45" s="24"/>
      <c r="AO45" s="24"/>
      <c r="AP45" s="24">
        <v>0</v>
      </c>
      <c r="AQ45" s="24" t="s">
        <v>418</v>
      </c>
      <c r="AR45" s="29" t="s">
        <v>174</v>
      </c>
      <c r="AS45" s="29"/>
      <c r="AT45" s="29"/>
      <c r="AU45" s="29" t="s">
        <v>382</v>
      </c>
      <c r="AV45" s="29">
        <v>14.2</v>
      </c>
      <c r="AW45" s="29"/>
      <c r="AX45" s="29"/>
      <c r="AY45" s="29"/>
      <c r="AZ45" s="29" t="s">
        <v>361</v>
      </c>
      <c r="BA45" s="24"/>
      <c r="BB45" s="29">
        <v>15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>
        <v>24</v>
      </c>
      <c r="BO45" s="29" t="s">
        <v>174</v>
      </c>
      <c r="BP45" s="29"/>
      <c r="BQ45" s="29"/>
      <c r="BR45" s="283"/>
      <c r="BS45" s="30"/>
      <c r="BT45" s="30"/>
      <c r="BU45" s="29"/>
      <c r="BV45" s="29" t="s">
        <v>174</v>
      </c>
      <c r="BW45" s="30"/>
      <c r="BX45" s="66"/>
      <c r="BY45" s="32" t="s">
        <v>613</v>
      </c>
      <c r="BZ45" t="s">
        <v>39</v>
      </c>
    </row>
    <row r="46" spans="1:78" x14ac:dyDescent="0.15">
      <c r="A46" s="33">
        <v>5943</v>
      </c>
      <c r="B46" s="26">
        <v>42476</v>
      </c>
      <c r="C46" s="27" t="s">
        <v>377</v>
      </c>
      <c r="D46" s="68" t="s">
        <v>454</v>
      </c>
      <c r="E46" s="24"/>
      <c r="F46" s="24" t="s">
        <v>417</v>
      </c>
      <c r="G46" s="28">
        <v>42474</v>
      </c>
      <c r="H46" s="29" t="s">
        <v>175</v>
      </c>
      <c r="I46" s="29" t="s">
        <v>174</v>
      </c>
      <c r="J46" s="29"/>
      <c r="K46" s="24" t="s">
        <v>306</v>
      </c>
      <c r="L46" s="24" t="s">
        <v>525</v>
      </c>
      <c r="M46" s="81">
        <v>87.1</v>
      </c>
      <c r="N46" s="81">
        <v>35.299999999999997</v>
      </c>
      <c r="O46" s="24"/>
      <c r="P46" s="25"/>
      <c r="Q46" s="81"/>
      <c r="R46" s="25"/>
      <c r="S46" s="81"/>
      <c r="T46" s="25"/>
      <c r="U46" s="24"/>
      <c r="V46" s="24"/>
      <c r="W46" s="81">
        <v>29.799999999999997</v>
      </c>
      <c r="X46" s="24"/>
      <c r="Y46" s="24"/>
      <c r="Z46" s="25"/>
      <c r="AA46" s="24"/>
      <c r="AB46" s="25"/>
      <c r="AC46" s="24"/>
      <c r="AD46" s="24"/>
      <c r="AE46" s="24"/>
      <c r="AF46" s="81"/>
      <c r="AG46" s="25"/>
      <c r="AH46" s="24"/>
      <c r="AI46" s="24"/>
      <c r="AJ46" s="24"/>
      <c r="AK46" s="24"/>
      <c r="AL46" s="24"/>
      <c r="AM46" s="24"/>
      <c r="AN46" s="24"/>
      <c r="AO46" s="24"/>
      <c r="AP46" s="24">
        <v>0</v>
      </c>
      <c r="AQ46" s="24" t="s">
        <v>418</v>
      </c>
      <c r="AR46" s="29" t="s">
        <v>174</v>
      </c>
      <c r="AS46" s="29"/>
      <c r="AT46" s="29"/>
      <c r="AU46" s="29" t="s">
        <v>382</v>
      </c>
      <c r="AV46" s="29">
        <v>14.2</v>
      </c>
      <c r="AW46" s="29"/>
      <c r="AX46" s="29"/>
      <c r="AY46" s="29"/>
      <c r="AZ46" s="29" t="s">
        <v>361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/>
      <c r="BO46" s="29" t="s">
        <v>174</v>
      </c>
      <c r="BP46" s="29"/>
      <c r="BQ46" s="29"/>
      <c r="BR46" s="283"/>
      <c r="BS46" s="30"/>
      <c r="BT46" s="30"/>
      <c r="BU46" s="29"/>
      <c r="BV46" s="29" t="s">
        <v>174</v>
      </c>
      <c r="BW46" s="24"/>
      <c r="BY46" s="32" t="s">
        <v>614</v>
      </c>
      <c r="BZ46" t="s">
        <v>39</v>
      </c>
    </row>
    <row r="47" spans="1:78" x14ac:dyDescent="0.15">
      <c r="A47" s="33">
        <v>2138</v>
      </c>
      <c r="B47" s="26">
        <v>42480</v>
      </c>
      <c r="C47" s="27" t="s">
        <v>377</v>
      </c>
      <c r="D47" s="68" t="s">
        <v>454</v>
      </c>
      <c r="E47" s="24"/>
      <c r="F47" s="24" t="s">
        <v>417</v>
      </c>
      <c r="G47" s="28">
        <v>42474</v>
      </c>
      <c r="H47" s="29" t="s">
        <v>175</v>
      </c>
      <c r="I47" s="29" t="s">
        <v>174</v>
      </c>
      <c r="J47" s="29"/>
      <c r="K47" s="24" t="s">
        <v>307</v>
      </c>
      <c r="L47" s="24" t="s">
        <v>526</v>
      </c>
      <c r="M47" s="81">
        <v>86.38</v>
      </c>
      <c r="N47" s="81">
        <v>41.818181818181813</v>
      </c>
      <c r="O47" s="24"/>
      <c r="P47" s="25"/>
      <c r="Q47" s="81"/>
      <c r="R47" s="25"/>
      <c r="S47" s="81"/>
      <c r="T47" s="24"/>
      <c r="U47" s="24"/>
      <c r="V47" s="24"/>
      <c r="W47" s="81">
        <v>24.49999991</v>
      </c>
      <c r="X47" s="24"/>
      <c r="Y47" s="24"/>
      <c r="Z47" s="24"/>
      <c r="AA47" s="24"/>
      <c r="AB47" s="24"/>
      <c r="AC47" s="24"/>
      <c r="AD47" s="24"/>
      <c r="AE47" s="24"/>
      <c r="AF47" s="81"/>
      <c r="AG47" s="25"/>
      <c r="AH47" s="24"/>
      <c r="AI47" s="24"/>
      <c r="AJ47" s="24"/>
      <c r="AK47" s="24"/>
      <c r="AL47" s="24"/>
      <c r="AM47" s="24"/>
      <c r="AN47" s="24"/>
      <c r="AO47" s="24"/>
      <c r="AP47" s="24">
        <v>0</v>
      </c>
      <c r="AQ47" s="24" t="s">
        <v>418</v>
      </c>
      <c r="AR47" s="29" t="s">
        <v>174</v>
      </c>
      <c r="AS47" s="29"/>
      <c r="AT47" s="29"/>
      <c r="AU47" s="29" t="s">
        <v>382</v>
      </c>
      <c r="AV47" s="29">
        <v>15</v>
      </c>
      <c r="AW47" s="29"/>
      <c r="AX47" s="29"/>
      <c r="AY47" s="29"/>
      <c r="AZ47" s="29" t="s">
        <v>174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/>
      <c r="BO47" s="29" t="s">
        <v>174</v>
      </c>
      <c r="BP47" s="29"/>
      <c r="BQ47" s="29"/>
      <c r="BR47" s="283"/>
      <c r="BS47" s="24" t="s">
        <v>528</v>
      </c>
      <c r="BT47" s="24" t="s">
        <v>195</v>
      </c>
      <c r="BU47" s="29">
        <v>30</v>
      </c>
      <c r="BV47" s="29" t="s">
        <v>174</v>
      </c>
      <c r="BW47" s="24"/>
      <c r="BY47" s="67" t="s">
        <v>76</v>
      </c>
      <c r="BZ47" t="s">
        <v>39</v>
      </c>
    </row>
    <row r="48" spans="1:78" x14ac:dyDescent="0.15">
      <c r="A48" s="33">
        <v>6341</v>
      </c>
      <c r="B48" s="26">
        <v>42476</v>
      </c>
      <c r="C48" s="27" t="s">
        <v>377</v>
      </c>
      <c r="D48" s="68" t="s">
        <v>454</v>
      </c>
      <c r="E48" s="24"/>
      <c r="F48" s="24" t="s">
        <v>417</v>
      </c>
      <c r="G48" s="31">
        <v>42474</v>
      </c>
      <c r="H48" s="29" t="s">
        <v>175</v>
      </c>
      <c r="I48" s="29" t="s">
        <v>174</v>
      </c>
      <c r="J48" s="29"/>
      <c r="K48" s="24" t="s">
        <v>419</v>
      </c>
      <c r="L48" s="24" t="s">
        <v>589</v>
      </c>
      <c r="M48" s="81">
        <v>119.11818181818181</v>
      </c>
      <c r="N48" s="81">
        <v>42.227272727272727</v>
      </c>
      <c r="O48" s="24"/>
      <c r="P48" s="25"/>
      <c r="Q48" s="81"/>
      <c r="R48" s="25"/>
      <c r="S48" s="81"/>
      <c r="T48" s="25"/>
      <c r="U48" s="24"/>
      <c r="V48" s="24"/>
      <c r="W48" s="81">
        <v>25.99</v>
      </c>
      <c r="X48" s="24"/>
      <c r="Y48" s="24"/>
      <c r="Z48" s="24"/>
      <c r="AA48" s="24"/>
      <c r="AB48" s="24"/>
      <c r="AC48" s="24"/>
      <c r="AD48" s="24"/>
      <c r="AE48" s="24"/>
      <c r="AF48" s="81"/>
      <c r="AG48" s="24"/>
      <c r="AH48" s="24"/>
      <c r="AI48" s="24"/>
      <c r="AJ48" s="24"/>
      <c r="AK48" s="24"/>
      <c r="AL48" s="24"/>
      <c r="AM48" s="24"/>
      <c r="AN48" s="24"/>
      <c r="AO48" s="24"/>
      <c r="AP48" s="24">
        <v>0</v>
      </c>
      <c r="AQ48" s="24" t="s">
        <v>418</v>
      </c>
      <c r="AR48" s="29" t="s">
        <v>174</v>
      </c>
      <c r="AS48" s="29"/>
      <c r="AT48" s="29"/>
      <c r="AU48" s="29" t="s">
        <v>382</v>
      </c>
      <c r="AV48" s="29">
        <v>6.8</v>
      </c>
      <c r="AW48" s="29"/>
      <c r="AX48" s="29"/>
      <c r="AY48" s="29"/>
      <c r="AZ48" s="29" t="s">
        <v>174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74" t="s">
        <v>174</v>
      </c>
      <c r="BN48" s="29"/>
      <c r="BO48" s="29" t="s">
        <v>174</v>
      </c>
      <c r="BP48" s="29"/>
      <c r="BQ48" s="29"/>
      <c r="BR48" s="283"/>
      <c r="BS48" s="30"/>
      <c r="BT48" s="30"/>
      <c r="BU48" s="29"/>
      <c r="BV48" s="29" t="s">
        <v>174</v>
      </c>
      <c r="BW48" s="24">
        <v>1</v>
      </c>
      <c r="BY48" s="67" t="s">
        <v>615</v>
      </c>
      <c r="BZ48" t="s">
        <v>452</v>
      </c>
    </row>
    <row r="49" spans="1:78" x14ac:dyDescent="0.15">
      <c r="A49" s="33">
        <v>5634</v>
      </c>
      <c r="B49" s="26">
        <v>42475</v>
      </c>
      <c r="C49" s="27" t="s">
        <v>377</v>
      </c>
      <c r="D49" s="68" t="s">
        <v>454</v>
      </c>
      <c r="E49" s="24"/>
      <c r="F49" s="24" t="s">
        <v>417</v>
      </c>
      <c r="G49" s="28">
        <v>42474</v>
      </c>
      <c r="H49" s="29" t="s">
        <v>175</v>
      </c>
      <c r="I49" s="29" t="s">
        <v>174</v>
      </c>
      <c r="J49" s="29"/>
      <c r="K49" s="68" t="s">
        <v>495</v>
      </c>
      <c r="L49" s="68" t="s">
        <v>529</v>
      </c>
      <c r="M49" s="81">
        <v>110.68</v>
      </c>
      <c r="N49" s="81">
        <v>38.020000000000003</v>
      </c>
      <c r="O49" s="24"/>
      <c r="P49" s="25"/>
      <c r="Q49" s="81"/>
      <c r="R49" s="25"/>
      <c r="S49" s="81"/>
      <c r="T49" s="24"/>
      <c r="U49" s="24"/>
      <c r="V49" s="24"/>
      <c r="W49" s="81">
        <v>28.272727272727</v>
      </c>
      <c r="X49" s="24"/>
      <c r="Y49" s="24"/>
      <c r="Z49" s="24"/>
      <c r="AA49" s="24"/>
      <c r="AB49" s="24"/>
      <c r="AC49" s="24"/>
      <c r="AD49" s="24"/>
      <c r="AE49" s="24"/>
      <c r="AF49" s="81"/>
      <c r="AG49" s="25"/>
      <c r="AH49" s="24"/>
      <c r="AI49" s="24"/>
      <c r="AJ49" s="24"/>
      <c r="AK49" s="24"/>
      <c r="AL49" s="24"/>
      <c r="AM49" s="24"/>
      <c r="AN49" s="24"/>
      <c r="AO49" s="24"/>
      <c r="AP49" s="24">
        <v>0</v>
      </c>
      <c r="AQ49" s="24" t="s">
        <v>418</v>
      </c>
      <c r="AR49" s="29" t="s">
        <v>174</v>
      </c>
      <c r="AS49" s="29"/>
      <c r="AT49" s="29"/>
      <c r="AU49" s="29" t="s">
        <v>382</v>
      </c>
      <c r="AV49" s="29">
        <v>10.199999999999999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12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29" t="s">
        <v>174</v>
      </c>
      <c r="BN49" s="29"/>
      <c r="BO49" s="29" t="s">
        <v>174</v>
      </c>
      <c r="BP49" s="29"/>
      <c r="BQ49" s="29"/>
      <c r="BR49" s="283"/>
      <c r="BS49" s="24"/>
      <c r="BT49" s="24"/>
      <c r="BU49" s="29"/>
      <c r="BV49" s="29" t="s">
        <v>174</v>
      </c>
      <c r="BW49" s="68">
        <v>1</v>
      </c>
      <c r="BY49" s="32" t="s">
        <v>591</v>
      </c>
      <c r="BZ49" t="s">
        <v>39</v>
      </c>
    </row>
    <row r="50" spans="1:78" x14ac:dyDescent="0.15">
      <c r="A50" s="33">
        <v>4762</v>
      </c>
      <c r="B50" s="26">
        <v>42468</v>
      </c>
      <c r="C50" s="27" t="s">
        <v>377</v>
      </c>
      <c r="D50" s="68" t="s">
        <v>454</v>
      </c>
      <c r="E50" s="24"/>
      <c r="F50" s="24" t="s">
        <v>417</v>
      </c>
      <c r="G50" s="28">
        <v>42473</v>
      </c>
      <c r="H50" s="29" t="s">
        <v>175</v>
      </c>
      <c r="I50" s="29" t="s">
        <v>174</v>
      </c>
      <c r="J50" s="29"/>
      <c r="K50" s="24" t="s">
        <v>437</v>
      </c>
      <c r="L50" s="24" t="s">
        <v>498</v>
      </c>
      <c r="M50" s="81">
        <v>64.349999999999994</v>
      </c>
      <c r="N50" s="81">
        <v>37.36</v>
      </c>
      <c r="O50" s="24"/>
      <c r="P50" s="25"/>
      <c r="Q50" s="81"/>
      <c r="R50" s="25"/>
      <c r="S50" s="81"/>
      <c r="T50" s="25"/>
      <c r="U50" s="24"/>
      <c r="V50" s="24"/>
      <c r="W50" s="81">
        <v>3.96</v>
      </c>
      <c r="X50" s="25"/>
      <c r="Y50" s="24"/>
      <c r="Z50" s="25"/>
      <c r="AA50" s="24"/>
      <c r="AB50" s="25"/>
      <c r="AC50" s="24"/>
      <c r="AD50" s="24"/>
      <c r="AE50" s="24"/>
      <c r="AF50" s="81"/>
      <c r="AG50" s="25"/>
      <c r="AH50" s="24"/>
      <c r="AI50" s="24"/>
      <c r="AJ50" s="24"/>
      <c r="AK50" s="24"/>
      <c r="AL50" s="24"/>
      <c r="AM50" s="24"/>
      <c r="AN50" s="24"/>
      <c r="AO50" s="24"/>
      <c r="AP50" s="24">
        <v>0</v>
      </c>
      <c r="AQ50" s="24" t="s">
        <v>418</v>
      </c>
      <c r="AR50" s="29" t="s">
        <v>174</v>
      </c>
      <c r="AS50" s="29"/>
      <c r="AT50" s="29"/>
      <c r="AU50" s="29" t="s">
        <v>382</v>
      </c>
      <c r="AV50" s="29">
        <v>10</v>
      </c>
      <c r="AW50" s="29"/>
      <c r="AX50" s="29"/>
      <c r="AY50" s="29"/>
      <c r="AZ50" s="29" t="s">
        <v>174</v>
      </c>
      <c r="BA50" s="24"/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29" t="s">
        <v>174</v>
      </c>
      <c r="BN50" s="29"/>
      <c r="BO50" s="29" t="s">
        <v>174</v>
      </c>
      <c r="BP50" s="29"/>
      <c r="BQ50" s="29"/>
      <c r="BR50" s="283"/>
      <c r="BS50" s="30"/>
      <c r="BT50" s="30"/>
      <c r="BU50" s="29"/>
      <c r="BV50" s="29" t="s">
        <v>174</v>
      </c>
      <c r="BW50" s="24">
        <v>1</v>
      </c>
      <c r="BY50" s="67" t="s">
        <v>76</v>
      </c>
      <c r="BZ50" t="s">
        <v>39</v>
      </c>
    </row>
    <row r="51" spans="1:78" x14ac:dyDescent="0.15">
      <c r="A51" s="33">
        <v>5290</v>
      </c>
      <c r="B51" s="26">
        <v>42476</v>
      </c>
      <c r="C51" s="27" t="s">
        <v>377</v>
      </c>
      <c r="D51" s="68" t="s">
        <v>454</v>
      </c>
      <c r="E51" s="24"/>
      <c r="F51" s="24" t="s">
        <v>417</v>
      </c>
      <c r="G51" s="28">
        <v>42474</v>
      </c>
      <c r="H51" s="29" t="s">
        <v>174</v>
      </c>
      <c r="I51" s="29" t="s">
        <v>500</v>
      </c>
      <c r="J51" s="29"/>
      <c r="K51" s="24" t="s">
        <v>531</v>
      </c>
      <c r="L51" s="24" t="s">
        <v>502</v>
      </c>
      <c r="M51" s="81">
        <v>95.654545454545442</v>
      </c>
      <c r="N51" s="81">
        <v>30.945454545454542</v>
      </c>
      <c r="O51" s="24"/>
      <c r="P51" s="25"/>
      <c r="Q51" s="81"/>
      <c r="R51" s="25"/>
      <c r="S51" s="81"/>
      <c r="T51" s="25"/>
      <c r="U51" s="24"/>
      <c r="V51" s="24"/>
      <c r="W51" s="81">
        <v>22.654545454545453</v>
      </c>
      <c r="X51" s="24"/>
      <c r="Y51" s="24"/>
      <c r="Z51" s="24"/>
      <c r="AA51" s="24"/>
      <c r="AB51" s="24"/>
      <c r="AC51" s="24"/>
      <c r="AD51" s="24"/>
      <c r="AE51" s="24"/>
      <c r="AF51" s="81"/>
      <c r="AG51" s="25"/>
      <c r="AH51" s="24"/>
      <c r="AI51" s="24"/>
      <c r="AJ51" s="24"/>
      <c r="AK51" s="24"/>
      <c r="AL51" s="24"/>
      <c r="AM51" s="24"/>
      <c r="AN51" s="24"/>
      <c r="AO51" s="24"/>
      <c r="AP51" s="24">
        <v>0</v>
      </c>
      <c r="AQ51" s="24" t="s">
        <v>418</v>
      </c>
      <c r="AR51" s="29" t="s">
        <v>174</v>
      </c>
      <c r="AS51" s="29"/>
      <c r="AT51" s="29"/>
      <c r="AU51" s="29"/>
      <c r="AV51" s="29"/>
      <c r="AW51" s="29"/>
      <c r="AX51" s="29"/>
      <c r="AY51" s="29"/>
      <c r="AZ51" s="29" t="s">
        <v>174</v>
      </c>
      <c r="BA51" s="24"/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29"/>
      <c r="BN51" s="29"/>
      <c r="BO51" s="29" t="s">
        <v>174</v>
      </c>
      <c r="BP51" s="29">
        <v>72</v>
      </c>
      <c r="BQ51" s="29"/>
      <c r="BR51" s="283"/>
      <c r="BS51" s="24"/>
      <c r="BT51" s="24"/>
      <c r="BU51" s="29"/>
      <c r="BV51" s="29" t="s">
        <v>174</v>
      </c>
      <c r="BW51" s="24">
        <v>1</v>
      </c>
      <c r="BX51" s="66" t="s">
        <v>504</v>
      </c>
      <c r="BY51" s="32" t="s">
        <v>616</v>
      </c>
      <c r="BZ51" t="s">
        <v>39</v>
      </c>
    </row>
    <row r="52" spans="1:78" x14ac:dyDescent="0.15">
      <c r="A52" s="33">
        <v>6123</v>
      </c>
      <c r="B52" s="26">
        <v>42476</v>
      </c>
      <c r="C52" s="27" t="s">
        <v>377</v>
      </c>
      <c r="D52" s="68" t="s">
        <v>454</v>
      </c>
      <c r="E52" s="24"/>
      <c r="F52" s="24" t="s">
        <v>417</v>
      </c>
      <c r="G52" s="31">
        <v>42277</v>
      </c>
      <c r="H52" s="29" t="s">
        <v>175</v>
      </c>
      <c r="I52" s="29" t="s">
        <v>174</v>
      </c>
      <c r="J52" s="29"/>
      <c r="K52" s="24" t="s">
        <v>594</v>
      </c>
      <c r="L52" s="68" t="s">
        <v>595</v>
      </c>
      <c r="M52" s="81">
        <v>104.99999999999999</v>
      </c>
      <c r="N52" s="81">
        <v>35</v>
      </c>
      <c r="O52" s="24"/>
      <c r="P52" s="25"/>
      <c r="Q52" s="81"/>
      <c r="R52" s="25"/>
      <c r="S52" s="81"/>
      <c r="T52" s="25"/>
      <c r="U52" s="24"/>
      <c r="V52" s="24"/>
      <c r="W52" s="81">
        <v>26.818181818181817</v>
      </c>
      <c r="X52" s="25"/>
      <c r="Y52" s="24"/>
      <c r="Z52" s="25"/>
      <c r="AA52" s="24"/>
      <c r="AB52" s="25"/>
      <c r="AC52" s="24"/>
      <c r="AD52" s="24"/>
      <c r="AE52" s="24"/>
      <c r="AF52" s="81"/>
      <c r="AG52" s="25"/>
      <c r="AH52" s="24"/>
      <c r="AI52" s="24"/>
      <c r="AJ52" s="24"/>
      <c r="AK52" s="24"/>
      <c r="AL52" s="24"/>
      <c r="AM52" s="24"/>
      <c r="AN52" s="24"/>
      <c r="AO52" s="24"/>
      <c r="AP52" s="24">
        <v>0</v>
      </c>
      <c r="AQ52" s="24" t="s">
        <v>418</v>
      </c>
      <c r="AR52" s="29" t="s">
        <v>174</v>
      </c>
      <c r="AS52" s="29"/>
      <c r="AT52" s="29"/>
      <c r="AU52" s="74" t="s">
        <v>382</v>
      </c>
      <c r="AV52" s="29">
        <v>15.5</v>
      </c>
      <c r="AW52" s="29"/>
      <c r="AX52" s="29"/>
      <c r="AY52" s="29"/>
      <c r="AZ52" s="29" t="s">
        <v>361</v>
      </c>
      <c r="BA52" s="24"/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29" t="s">
        <v>174</v>
      </c>
      <c r="BN52" s="29"/>
      <c r="BO52" s="29" t="s">
        <v>174</v>
      </c>
      <c r="BP52" s="96">
        <v>239.89</v>
      </c>
      <c r="BQ52" s="29"/>
      <c r="BR52" s="283">
        <v>42551</v>
      </c>
      <c r="BS52" s="30"/>
      <c r="BT52" s="30"/>
      <c r="BU52" s="29"/>
      <c r="BV52" s="29" t="s">
        <v>174</v>
      </c>
      <c r="BW52" s="24"/>
      <c r="BY52" s="32" t="s">
        <v>76</v>
      </c>
      <c r="BZ52" t="s">
        <v>77</v>
      </c>
    </row>
    <row r="53" spans="1:78" ht="13" customHeight="1" x14ac:dyDescent="0.15">
      <c r="A53" s="260">
        <v>5550</v>
      </c>
      <c r="B53" s="270">
        <v>42468</v>
      </c>
      <c r="C53" s="261" t="s">
        <v>377</v>
      </c>
      <c r="D53" s="260" t="s">
        <v>454</v>
      </c>
      <c r="E53" s="260"/>
      <c r="F53" s="260" t="s">
        <v>617</v>
      </c>
      <c r="G53" s="267">
        <v>42262</v>
      </c>
      <c r="H53" s="262" t="s">
        <v>175</v>
      </c>
      <c r="I53" s="262" t="s">
        <v>174</v>
      </c>
      <c r="J53" s="262"/>
      <c r="K53" s="260" t="s">
        <v>297</v>
      </c>
      <c r="L53" s="260" t="s">
        <v>511</v>
      </c>
      <c r="M53" s="91">
        <v>140.5</v>
      </c>
      <c r="N53" s="91">
        <v>24.509090909090908</v>
      </c>
      <c r="O53" s="260"/>
      <c r="P53" s="263"/>
      <c r="R53" s="263"/>
      <c r="T53" s="263"/>
      <c r="U53" s="260"/>
      <c r="V53" s="264"/>
      <c r="X53" s="260"/>
      <c r="Y53" s="260"/>
      <c r="Z53" s="260"/>
      <c r="AA53" s="260"/>
      <c r="AB53" s="260"/>
      <c r="AC53" s="260"/>
      <c r="AD53" s="260"/>
      <c r="AE53" s="264"/>
      <c r="AG53" s="263"/>
      <c r="AH53" s="260"/>
      <c r="AI53" s="264"/>
      <c r="AJ53" s="260"/>
      <c r="AK53" s="260"/>
      <c r="AL53" s="260"/>
      <c r="AM53" s="260"/>
      <c r="AN53" s="91">
        <v>39.36363636363636</v>
      </c>
      <c r="AO53" s="265"/>
      <c r="AP53" s="91">
        <v>19.554545454545455</v>
      </c>
      <c r="AQ53" s="260" t="s">
        <v>620</v>
      </c>
      <c r="AR53" s="262" t="s">
        <v>175</v>
      </c>
      <c r="AS53" s="262" t="s">
        <v>621</v>
      </c>
      <c r="AT53" s="262">
        <v>5</v>
      </c>
      <c r="AU53" s="262" t="s">
        <v>382</v>
      </c>
      <c r="AV53" s="262">
        <v>9.5</v>
      </c>
      <c r="AW53" s="262"/>
      <c r="AX53" s="262"/>
      <c r="AY53" s="262"/>
      <c r="AZ53" s="262" t="s">
        <v>174</v>
      </c>
      <c r="BA53" s="260"/>
      <c r="BB53" s="262">
        <v>0</v>
      </c>
      <c r="BC53" s="262">
        <v>0</v>
      </c>
      <c r="BD53" s="262">
        <v>0</v>
      </c>
      <c r="BE53" s="262">
        <v>0</v>
      </c>
      <c r="BF53" s="262">
        <v>0</v>
      </c>
      <c r="BG53" s="262">
        <v>0</v>
      </c>
      <c r="BH53" s="262">
        <v>0</v>
      </c>
      <c r="BI53" s="262">
        <v>0</v>
      </c>
      <c r="BJ53" s="262">
        <v>0</v>
      </c>
      <c r="BK53" s="262">
        <v>0</v>
      </c>
      <c r="BL53" s="262"/>
      <c r="BM53" s="262" t="s">
        <v>174</v>
      </c>
      <c r="BN53" s="262"/>
      <c r="BO53" s="262" t="s">
        <v>174</v>
      </c>
      <c r="BP53" s="262"/>
      <c r="BQ53" s="262"/>
      <c r="BR53" s="262"/>
      <c r="BS53" s="260"/>
      <c r="BT53" s="260"/>
      <c r="BU53" s="262"/>
      <c r="BV53" s="262" t="s">
        <v>174</v>
      </c>
      <c r="BW53" s="262">
        <v>1</v>
      </c>
      <c r="BX53" s="260"/>
      <c r="BY53" s="260" t="s">
        <v>76</v>
      </c>
      <c r="BZ53" s="266" t="s">
        <v>77</v>
      </c>
    </row>
  </sheetData>
  <sheetProtection algorithmName="SHA-512" hashValue="HNfDmxczj0udyVcVui3K3Cztcu0IlCzRtD0p1X5ErJTORY2p+y8jtmxQoEFzkWbIe+iRxf1l2Q8MLcE0ACBsZA==" saltValue="qLXqXh9iBwEEGNs6BLLxAA==" spinCount="100000" sheet="1" objects="1" scenarios="1"/>
  <hyperlinks>
    <hyperlink ref="BY18" r:id="rId1" xr:uid="{746F0831-B6B7-F74F-8825-6E2B84F1EA40}"/>
  </hyperlinks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4840-7E55-CD49-AA5F-CBA9C087CDB4}">
  <sheetPr codeName="Sheet11"/>
  <dimension ref="A1:BY47"/>
  <sheetViews>
    <sheetView zoomScaleNormal="100" zoomScalePageLayoutView="125" workbookViewId="0">
      <selection activeCell="BK47" sqref="BK47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89" t="s">
        <v>263</v>
      </c>
      <c r="N1" s="90" t="s">
        <v>266</v>
      </c>
      <c r="O1" s="7" t="s">
        <v>267</v>
      </c>
      <c r="P1" s="7" t="s">
        <v>268</v>
      </c>
      <c r="Q1" s="90" t="s">
        <v>269</v>
      </c>
      <c r="R1" s="7" t="s">
        <v>221</v>
      </c>
      <c r="S1" s="90" t="s">
        <v>308</v>
      </c>
      <c r="T1" s="7" t="s">
        <v>309</v>
      </c>
      <c r="U1" s="7" t="s">
        <v>310</v>
      </c>
      <c r="V1" s="8" t="s">
        <v>264</v>
      </c>
      <c r="W1" s="92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93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540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2" t="s">
        <v>188</v>
      </c>
    </row>
    <row r="2" spans="1:77" x14ac:dyDescent="0.15">
      <c r="A2" s="33">
        <v>4250</v>
      </c>
      <c r="B2" s="26">
        <v>42291</v>
      </c>
      <c r="C2" s="27" t="s">
        <v>377</v>
      </c>
      <c r="D2" s="68" t="s">
        <v>454</v>
      </c>
      <c r="E2" s="24"/>
      <c r="F2" s="24" t="s">
        <v>379</v>
      </c>
      <c r="G2" s="28">
        <v>42291</v>
      </c>
      <c r="H2" s="29" t="s">
        <v>175</v>
      </c>
      <c r="I2" s="29" t="s">
        <v>174</v>
      </c>
      <c r="J2" s="29"/>
      <c r="K2" s="24" t="s">
        <v>296</v>
      </c>
      <c r="L2" s="24" t="s">
        <v>510</v>
      </c>
      <c r="M2" s="81">
        <v>78.318181818181813</v>
      </c>
      <c r="N2" s="81">
        <v>35.036363636363632</v>
      </c>
      <c r="O2" s="24"/>
      <c r="P2" s="25"/>
      <c r="Q2" s="81"/>
      <c r="R2" s="25"/>
      <c r="S2" s="81"/>
      <c r="T2" s="25"/>
      <c r="U2" s="24"/>
      <c r="V2" s="24"/>
      <c r="W2" s="81"/>
      <c r="X2" s="24"/>
      <c r="Y2" s="24"/>
      <c r="Z2" s="24"/>
      <c r="AA2" s="24"/>
      <c r="AB2" s="25"/>
      <c r="AC2" s="24"/>
      <c r="AD2" s="24"/>
      <c r="AE2" s="24"/>
      <c r="AF2" s="81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 t="s">
        <v>381</v>
      </c>
      <c r="AR2" s="29" t="s">
        <v>174</v>
      </c>
      <c r="AS2" s="29"/>
      <c r="AT2" s="29"/>
      <c r="AU2" s="29" t="s">
        <v>382</v>
      </c>
      <c r="AV2" s="29">
        <v>14.2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>
        <v>24</v>
      </c>
      <c r="BO2" s="29" t="s">
        <v>174</v>
      </c>
      <c r="BP2" s="29"/>
      <c r="BQ2" s="29">
        <v>24</v>
      </c>
      <c r="BR2" s="29"/>
      <c r="BS2" s="30"/>
      <c r="BT2" s="30"/>
      <c r="BU2" s="29"/>
      <c r="BV2" s="29" t="s">
        <v>174</v>
      </c>
      <c r="BW2" s="24"/>
      <c r="BX2" s="66" t="s">
        <v>76</v>
      </c>
      <c r="BY2" s="67" t="s">
        <v>39</v>
      </c>
    </row>
    <row r="3" spans="1:77" x14ac:dyDescent="0.15">
      <c r="A3" s="33">
        <v>5549</v>
      </c>
      <c r="B3" s="26">
        <v>42291</v>
      </c>
      <c r="C3" s="27" t="s">
        <v>377</v>
      </c>
      <c r="D3" s="68" t="s">
        <v>454</v>
      </c>
      <c r="E3" s="24"/>
      <c r="F3" s="24" t="s">
        <v>379</v>
      </c>
      <c r="G3" s="31">
        <v>42262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/>
      <c r="P3" s="25"/>
      <c r="Q3" s="81"/>
      <c r="R3" s="25"/>
      <c r="S3" s="81"/>
      <c r="T3" s="25"/>
      <c r="U3" s="24"/>
      <c r="V3" s="24"/>
      <c r="W3" s="81"/>
      <c r="X3" s="24"/>
      <c r="Y3" s="24"/>
      <c r="Z3" s="24"/>
      <c r="AA3" s="24"/>
      <c r="AB3" s="24"/>
      <c r="AC3" s="24"/>
      <c r="AD3" s="24"/>
      <c r="AE3" s="24"/>
      <c r="AF3" s="81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9"/>
      <c r="BS3" s="24"/>
      <c r="BT3" s="24"/>
      <c r="BU3" s="29"/>
      <c r="BV3" s="29" t="s">
        <v>174</v>
      </c>
      <c r="BW3" s="68" t="s">
        <v>439</v>
      </c>
      <c r="BX3" s="66" t="s">
        <v>76</v>
      </c>
      <c r="BY3" s="67" t="s">
        <v>39</v>
      </c>
    </row>
    <row r="4" spans="1:77" x14ac:dyDescent="0.15">
      <c r="A4" s="33">
        <v>5588</v>
      </c>
      <c r="B4" s="26">
        <v>42291</v>
      </c>
      <c r="C4" s="27" t="s">
        <v>377</v>
      </c>
      <c r="D4" s="68" t="s">
        <v>454</v>
      </c>
      <c r="E4" s="24"/>
      <c r="F4" s="24" t="s">
        <v>379</v>
      </c>
      <c r="G4" s="28">
        <v>42185</v>
      </c>
      <c r="H4" s="29" t="s">
        <v>175</v>
      </c>
      <c r="I4" s="29" t="s">
        <v>174</v>
      </c>
      <c r="J4" s="29"/>
      <c r="K4" s="24" t="s">
        <v>298</v>
      </c>
      <c r="L4" s="68" t="s">
        <v>512</v>
      </c>
      <c r="M4" s="81">
        <v>70.86363636363636</v>
      </c>
      <c r="N4" s="81">
        <v>34.354545454545452</v>
      </c>
      <c r="O4" s="24"/>
      <c r="P4" s="24"/>
      <c r="Q4" s="81"/>
      <c r="R4" s="24"/>
      <c r="S4" s="81"/>
      <c r="T4" s="24"/>
      <c r="U4" s="24"/>
      <c r="V4" s="24"/>
      <c r="W4" s="81"/>
      <c r="X4" s="24"/>
      <c r="Y4" s="24"/>
      <c r="Z4" s="24"/>
      <c r="AA4" s="24"/>
      <c r="AB4" s="24"/>
      <c r="AC4" s="24"/>
      <c r="AD4" s="24"/>
      <c r="AE4" s="24"/>
      <c r="AF4" s="81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 t="s">
        <v>381</v>
      </c>
      <c r="AR4" s="29" t="s">
        <v>174</v>
      </c>
      <c r="AS4" s="29"/>
      <c r="AT4" s="29"/>
      <c r="AU4" s="29" t="s">
        <v>382</v>
      </c>
      <c r="AV4" s="29">
        <v>14</v>
      </c>
      <c r="AW4" s="29"/>
      <c r="AX4" s="29"/>
      <c r="AY4" s="29"/>
      <c r="AZ4" s="29" t="s">
        <v>174</v>
      </c>
      <c r="BA4" s="24"/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9"/>
      <c r="BS4" s="30" t="s">
        <v>513</v>
      </c>
      <c r="BT4" s="30" t="s">
        <v>514</v>
      </c>
      <c r="BU4" s="29">
        <v>50</v>
      </c>
      <c r="BV4" s="29" t="s">
        <v>174</v>
      </c>
      <c r="BW4" s="24" t="s">
        <v>449</v>
      </c>
      <c r="BX4" s="66" t="s">
        <v>515</v>
      </c>
      <c r="BY4" s="32" t="s">
        <v>77</v>
      </c>
    </row>
    <row r="5" spans="1:77" x14ac:dyDescent="0.15">
      <c r="A5" s="33">
        <v>242</v>
      </c>
      <c r="B5" s="26">
        <v>42291</v>
      </c>
      <c r="C5" s="27" t="s">
        <v>377</v>
      </c>
      <c r="D5" s="68" t="s">
        <v>454</v>
      </c>
      <c r="E5" s="24"/>
      <c r="F5" s="24" t="s">
        <v>379</v>
      </c>
      <c r="G5" s="28">
        <v>42249</v>
      </c>
      <c r="H5" s="29" t="s">
        <v>175</v>
      </c>
      <c r="I5" s="29" t="s">
        <v>174</v>
      </c>
      <c r="J5" s="29"/>
      <c r="K5" s="24" t="s">
        <v>299</v>
      </c>
      <c r="L5" s="24" t="s">
        <v>446</v>
      </c>
      <c r="M5" s="81">
        <v>95.663636363636357</v>
      </c>
      <c r="N5" s="81">
        <v>33.754545454545458</v>
      </c>
      <c r="O5" s="24"/>
      <c r="P5" s="25"/>
      <c r="Q5" s="81"/>
      <c r="R5" s="25"/>
      <c r="S5" s="81"/>
      <c r="T5" s="24"/>
      <c r="U5" s="24"/>
      <c r="V5" s="24"/>
      <c r="W5" s="81"/>
      <c r="X5" s="24"/>
      <c r="Y5" s="24"/>
      <c r="Z5" s="24"/>
      <c r="AA5" s="24"/>
      <c r="AB5" s="24"/>
      <c r="AC5" s="24"/>
      <c r="AD5" s="24"/>
      <c r="AE5" s="24"/>
      <c r="AF5" s="81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 t="s">
        <v>381</v>
      </c>
      <c r="AR5" s="29" t="s">
        <v>174</v>
      </c>
      <c r="AS5" s="29"/>
      <c r="AT5" s="29"/>
      <c r="AU5" s="29" t="s">
        <v>382</v>
      </c>
      <c r="AV5" s="29">
        <v>11.6</v>
      </c>
      <c r="AW5" s="29"/>
      <c r="AX5" s="29"/>
      <c r="AY5" s="29"/>
      <c r="AZ5" s="29" t="s">
        <v>174</v>
      </c>
      <c r="BA5" s="24"/>
      <c r="BB5" s="29">
        <v>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/>
      <c r="BO5" s="29" t="s">
        <v>174</v>
      </c>
      <c r="BP5" s="29"/>
      <c r="BQ5" s="29"/>
      <c r="BR5" s="29"/>
      <c r="BS5" s="30"/>
      <c r="BT5" s="24"/>
      <c r="BU5" s="29"/>
      <c r="BV5" s="29" t="s">
        <v>174</v>
      </c>
      <c r="BW5" s="24"/>
      <c r="BX5" t="s">
        <v>516</v>
      </c>
      <c r="BY5" s="32" t="s">
        <v>77</v>
      </c>
    </row>
    <row r="6" spans="1:77" x14ac:dyDescent="0.15">
      <c r="A6" s="33">
        <v>5770</v>
      </c>
      <c r="B6" s="26">
        <v>42291</v>
      </c>
      <c r="C6" s="27" t="s">
        <v>377</v>
      </c>
      <c r="D6" s="68" t="s">
        <v>454</v>
      </c>
      <c r="E6" s="24"/>
      <c r="F6" s="24" t="s">
        <v>379</v>
      </c>
      <c r="G6" s="28">
        <v>42247</v>
      </c>
      <c r="H6" s="29" t="s">
        <v>175</v>
      </c>
      <c r="I6" s="29" t="s">
        <v>174</v>
      </c>
      <c r="J6" s="29"/>
      <c r="K6" s="24" t="s">
        <v>300</v>
      </c>
      <c r="L6" s="24" t="s">
        <v>517</v>
      </c>
      <c r="M6" s="81">
        <v>99.5</v>
      </c>
      <c r="N6" s="81">
        <v>37.554545454545455</v>
      </c>
      <c r="O6" s="24" t="s">
        <v>518</v>
      </c>
      <c r="P6" s="25">
        <v>1000</v>
      </c>
      <c r="Q6" s="81">
        <v>39.954545454545453</v>
      </c>
      <c r="R6" s="25"/>
      <c r="S6" s="81"/>
      <c r="T6" s="25"/>
      <c r="U6" s="24"/>
      <c r="V6" s="24"/>
      <c r="W6" s="81"/>
      <c r="X6" s="24"/>
      <c r="Y6" s="24"/>
      <c r="Z6" s="24"/>
      <c r="AA6" s="24"/>
      <c r="AB6" s="24"/>
      <c r="AC6" s="24"/>
      <c r="AD6" s="24"/>
      <c r="AE6" s="24"/>
      <c r="AF6" s="81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 t="s">
        <v>381</v>
      </c>
      <c r="AR6" s="29" t="s">
        <v>174</v>
      </c>
      <c r="AS6" s="29"/>
      <c r="AT6" s="29"/>
      <c r="AU6" s="29" t="s">
        <v>382</v>
      </c>
      <c r="AV6" s="29">
        <v>12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9"/>
      <c r="BS6" s="24"/>
      <c r="BT6" s="24"/>
      <c r="BU6" s="29"/>
      <c r="BV6" s="29" t="s">
        <v>174</v>
      </c>
      <c r="BW6" s="24"/>
      <c r="BX6" t="s">
        <v>519</v>
      </c>
      <c r="BY6" s="32" t="s">
        <v>77</v>
      </c>
    </row>
    <row r="7" spans="1:77" x14ac:dyDescent="0.15">
      <c r="A7" s="33">
        <v>5268</v>
      </c>
      <c r="B7" s="26">
        <v>42291</v>
      </c>
      <c r="C7" s="27" t="s">
        <v>377</v>
      </c>
      <c r="D7" s="68" t="s">
        <v>454</v>
      </c>
      <c r="E7" s="24"/>
      <c r="F7" s="24" t="s">
        <v>379</v>
      </c>
      <c r="G7" s="28">
        <v>42214</v>
      </c>
      <c r="H7" s="29" t="s">
        <v>175</v>
      </c>
      <c r="I7" s="29" t="s">
        <v>174</v>
      </c>
      <c r="J7" s="29"/>
      <c r="K7" s="24" t="s">
        <v>301</v>
      </c>
      <c r="L7" s="24" t="s">
        <v>520</v>
      </c>
      <c r="M7" s="81">
        <v>97.999999999999986</v>
      </c>
      <c r="N7" s="81">
        <v>39.663636363636364</v>
      </c>
      <c r="O7" s="24"/>
      <c r="P7" s="25"/>
      <c r="Q7" s="81"/>
      <c r="R7" s="25"/>
      <c r="S7" s="81"/>
      <c r="T7" s="25"/>
      <c r="U7" s="24"/>
      <c r="V7" s="24"/>
      <c r="W7" s="81"/>
      <c r="X7" s="25"/>
      <c r="Y7" s="24"/>
      <c r="Z7" s="25"/>
      <c r="AA7" s="24"/>
      <c r="AB7" s="25"/>
      <c r="AC7" s="24"/>
      <c r="AD7" s="24"/>
      <c r="AE7" s="24"/>
      <c r="AF7" s="81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 t="s">
        <v>381</v>
      </c>
      <c r="AR7" s="29" t="s">
        <v>174</v>
      </c>
      <c r="AS7" s="29"/>
      <c r="AT7" s="29"/>
      <c r="AU7" s="29" t="s">
        <v>382</v>
      </c>
      <c r="AV7" s="29">
        <v>15</v>
      </c>
      <c r="AW7" s="29"/>
      <c r="AX7" s="29"/>
      <c r="AY7" s="29"/>
      <c r="AZ7" s="29" t="s">
        <v>361</v>
      </c>
      <c r="BA7" s="24"/>
      <c r="BB7" s="29">
        <v>5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>
        <v>12</v>
      </c>
      <c r="BO7" s="29" t="s">
        <v>174</v>
      </c>
      <c r="BP7" s="29"/>
      <c r="BQ7" s="29"/>
      <c r="BR7" s="29"/>
      <c r="BS7" s="24"/>
      <c r="BT7" s="24"/>
      <c r="BU7" s="29"/>
      <c r="BV7" s="29" t="s">
        <v>174</v>
      </c>
      <c r="BW7" s="24"/>
      <c r="BX7" s="66" t="s">
        <v>76</v>
      </c>
      <c r="BY7" s="67" t="s">
        <v>77</v>
      </c>
    </row>
    <row r="8" spans="1:77" x14ac:dyDescent="0.15">
      <c r="A8" s="33">
        <v>4783</v>
      </c>
      <c r="B8" s="26">
        <v>42291</v>
      </c>
      <c r="C8" s="27" t="s">
        <v>377</v>
      </c>
      <c r="D8" s="68" t="s">
        <v>454</v>
      </c>
      <c r="E8" s="24"/>
      <c r="F8" s="24" t="s">
        <v>379</v>
      </c>
      <c r="G8" s="28">
        <v>42285</v>
      </c>
      <c r="H8" s="29" t="s">
        <v>175</v>
      </c>
      <c r="I8" s="29" t="s">
        <v>174</v>
      </c>
      <c r="J8" s="29"/>
      <c r="K8" s="24" t="s">
        <v>302</v>
      </c>
      <c r="L8" s="24" t="s">
        <v>521</v>
      </c>
      <c r="M8" s="81">
        <v>86.018181818181816</v>
      </c>
      <c r="N8" s="81">
        <v>34.9</v>
      </c>
      <c r="O8" s="24"/>
      <c r="P8" s="25"/>
      <c r="Q8" s="81"/>
      <c r="R8" s="25"/>
      <c r="S8" s="81"/>
      <c r="T8" s="25"/>
      <c r="U8" s="24"/>
      <c r="V8" s="24"/>
      <c r="W8" s="81"/>
      <c r="X8" s="24"/>
      <c r="Y8" s="24"/>
      <c r="Z8" s="24"/>
      <c r="AA8" s="24"/>
      <c r="AB8" s="24"/>
      <c r="AC8" s="24"/>
      <c r="AD8" s="24"/>
      <c r="AE8" s="24"/>
      <c r="AF8" s="81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381</v>
      </c>
      <c r="AR8" s="29" t="s">
        <v>174</v>
      </c>
      <c r="AS8" s="29"/>
      <c r="AT8" s="29"/>
      <c r="AU8" s="29" t="s">
        <v>382</v>
      </c>
      <c r="AV8" s="29">
        <v>15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/>
      <c r="BO8" s="29" t="s">
        <v>174</v>
      </c>
      <c r="BP8" s="29"/>
      <c r="BQ8" s="29"/>
      <c r="BR8" s="29"/>
      <c r="BS8" s="24"/>
      <c r="BT8" s="24"/>
      <c r="BU8" s="29"/>
      <c r="BV8" s="29" t="s">
        <v>174</v>
      </c>
      <c r="BW8" s="24"/>
      <c r="BX8" t="s">
        <v>76</v>
      </c>
      <c r="BY8" s="32" t="s">
        <v>39</v>
      </c>
    </row>
    <row r="9" spans="1:77" x14ac:dyDescent="0.15">
      <c r="A9" s="33">
        <v>931</v>
      </c>
      <c r="B9" s="26">
        <v>42291</v>
      </c>
      <c r="C9" s="27" t="s">
        <v>377</v>
      </c>
      <c r="D9" s="68" t="s">
        <v>454</v>
      </c>
      <c r="E9" s="24"/>
      <c r="F9" s="24" t="s">
        <v>379</v>
      </c>
      <c r="G9" s="26">
        <v>42200</v>
      </c>
      <c r="H9" s="29" t="s">
        <v>175</v>
      </c>
      <c r="I9" s="29" t="s">
        <v>174</v>
      </c>
      <c r="J9" s="29"/>
      <c r="K9" s="24" t="s">
        <v>303</v>
      </c>
      <c r="L9" s="24" t="s">
        <v>522</v>
      </c>
      <c r="M9" s="81">
        <v>95.89</v>
      </c>
      <c r="N9" s="81">
        <v>32.31</v>
      </c>
      <c r="O9" s="24"/>
      <c r="P9" s="25"/>
      <c r="Q9" s="81"/>
      <c r="R9" s="25"/>
      <c r="S9" s="81"/>
      <c r="T9" s="24"/>
      <c r="U9" s="24"/>
      <c r="V9" s="24"/>
      <c r="W9" s="81"/>
      <c r="X9" s="24"/>
      <c r="Y9" s="24"/>
      <c r="Z9" s="24"/>
      <c r="AA9" s="24"/>
      <c r="AB9" s="24"/>
      <c r="AC9" s="24"/>
      <c r="AD9" s="24"/>
      <c r="AE9" s="24"/>
      <c r="AF9" s="81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 t="s">
        <v>381</v>
      </c>
      <c r="AR9" s="29" t="s">
        <v>174</v>
      </c>
      <c r="AS9" s="29"/>
      <c r="AT9" s="29"/>
      <c r="AU9" s="29"/>
      <c r="AV9" s="29"/>
      <c r="AW9" s="29"/>
      <c r="AX9" s="29"/>
      <c r="AY9" s="29"/>
      <c r="AZ9" s="29" t="s">
        <v>174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/>
      <c r="BO9" s="29" t="s">
        <v>174</v>
      </c>
      <c r="BP9" s="29"/>
      <c r="BQ9" s="29"/>
      <c r="BR9" s="29"/>
      <c r="BS9" s="24"/>
      <c r="BT9" s="24"/>
      <c r="BU9" s="29"/>
      <c r="BV9" s="29" t="s">
        <v>174</v>
      </c>
      <c r="BW9" s="24"/>
      <c r="BX9" s="66" t="s">
        <v>76</v>
      </c>
      <c r="BY9" s="67" t="s">
        <v>77</v>
      </c>
    </row>
    <row r="10" spans="1:77" x14ac:dyDescent="0.15">
      <c r="A10" s="33">
        <v>5408</v>
      </c>
      <c r="B10" s="26">
        <v>42292</v>
      </c>
      <c r="C10" s="27" t="s">
        <v>377</v>
      </c>
      <c r="D10" s="68" t="s">
        <v>454</v>
      </c>
      <c r="E10" s="24"/>
      <c r="F10" s="24" t="s">
        <v>379</v>
      </c>
      <c r="G10" s="28">
        <v>42186</v>
      </c>
      <c r="H10" s="29" t="s">
        <v>175</v>
      </c>
      <c r="I10" s="29" t="s">
        <v>174</v>
      </c>
      <c r="J10" s="29"/>
      <c r="K10" s="24" t="s">
        <v>304</v>
      </c>
      <c r="L10" s="24" t="s">
        <v>523</v>
      </c>
      <c r="M10" s="81">
        <v>90.109090909090909</v>
      </c>
      <c r="N10" s="81">
        <v>39.809090909090905</v>
      </c>
      <c r="O10" s="24"/>
      <c r="P10" s="25"/>
      <c r="Q10" s="81"/>
      <c r="R10" s="25"/>
      <c r="S10" s="81"/>
      <c r="T10" s="25"/>
      <c r="U10" s="24"/>
      <c r="V10" s="24"/>
      <c r="W10" s="81"/>
      <c r="X10" s="24"/>
      <c r="Y10" s="24"/>
      <c r="Z10" s="25"/>
      <c r="AA10" s="24"/>
      <c r="AB10" s="25"/>
      <c r="AC10" s="24"/>
      <c r="AD10" s="24"/>
      <c r="AE10" s="24"/>
      <c r="AF10" s="81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10</v>
      </c>
      <c r="AW10" s="29"/>
      <c r="AX10" s="29"/>
      <c r="AY10" s="29"/>
      <c r="AZ10" s="29" t="s">
        <v>361</v>
      </c>
      <c r="BA10" s="24"/>
      <c r="BB10" s="29">
        <v>14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>
        <v>12</v>
      </c>
      <c r="BM10" s="29" t="s">
        <v>175</v>
      </c>
      <c r="BN10" s="29">
        <v>12</v>
      </c>
      <c r="BO10" s="29" t="s">
        <v>174</v>
      </c>
      <c r="BP10" s="29"/>
      <c r="BQ10" s="29"/>
      <c r="BR10" s="29"/>
      <c r="BS10" s="24"/>
      <c r="BT10" s="24"/>
      <c r="BU10" s="29"/>
      <c r="BV10" s="29" t="s">
        <v>174</v>
      </c>
      <c r="BW10" s="30"/>
      <c r="BX10" s="66" t="s">
        <v>76</v>
      </c>
      <c r="BY10" s="32" t="s">
        <v>77</v>
      </c>
    </row>
    <row r="11" spans="1:77" x14ac:dyDescent="0.15">
      <c r="A11" s="33">
        <v>5320</v>
      </c>
      <c r="B11" s="26">
        <v>42292</v>
      </c>
      <c r="C11" s="27" t="s">
        <v>377</v>
      </c>
      <c r="D11" s="68" t="s">
        <v>454</v>
      </c>
      <c r="E11" s="24"/>
      <c r="F11" s="24" t="s">
        <v>379</v>
      </c>
      <c r="G11" s="28">
        <v>42279</v>
      </c>
      <c r="H11" s="29" t="s">
        <v>175</v>
      </c>
      <c r="I11" s="29" t="s">
        <v>174</v>
      </c>
      <c r="J11" s="29"/>
      <c r="K11" s="24" t="s">
        <v>305</v>
      </c>
      <c r="L11" s="24" t="s">
        <v>524</v>
      </c>
      <c r="M11" s="81">
        <v>89</v>
      </c>
      <c r="N11" s="81">
        <v>39.818181818181813</v>
      </c>
      <c r="O11" s="24"/>
      <c r="P11" s="25"/>
      <c r="Q11" s="81"/>
      <c r="R11" s="25"/>
      <c r="S11" s="81"/>
      <c r="T11" s="25"/>
      <c r="U11" s="24"/>
      <c r="V11" s="24"/>
      <c r="W11" s="81"/>
      <c r="X11" s="24"/>
      <c r="Y11" s="24"/>
      <c r="Z11" s="25"/>
      <c r="AA11" s="24"/>
      <c r="AB11" s="25"/>
      <c r="AC11" s="24"/>
      <c r="AD11" s="24"/>
      <c r="AE11" s="24"/>
      <c r="AF11" s="81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14.2</v>
      </c>
      <c r="AW11" s="29"/>
      <c r="AX11" s="29"/>
      <c r="AY11" s="29"/>
      <c r="AZ11" s="29" t="s">
        <v>361</v>
      </c>
      <c r="BA11" s="24"/>
      <c r="BB11" s="29">
        <v>15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>
        <v>24</v>
      </c>
      <c r="BO11" s="29" t="s">
        <v>174</v>
      </c>
      <c r="BP11" s="29"/>
      <c r="BQ11" s="29"/>
      <c r="BR11" s="29"/>
      <c r="BS11" s="30"/>
      <c r="BT11" s="30"/>
      <c r="BU11" s="29"/>
      <c r="BV11" s="29" t="s">
        <v>174</v>
      </c>
      <c r="BW11" s="24"/>
      <c r="BX11" t="s">
        <v>76</v>
      </c>
      <c r="BY11" s="32" t="s">
        <v>39</v>
      </c>
    </row>
    <row r="12" spans="1:77" x14ac:dyDescent="0.15">
      <c r="A12" s="33">
        <v>5942</v>
      </c>
      <c r="B12" s="26">
        <v>42293</v>
      </c>
      <c r="C12" s="27" t="s">
        <v>377</v>
      </c>
      <c r="D12" s="68" t="s">
        <v>454</v>
      </c>
      <c r="E12" s="24"/>
      <c r="F12" s="24" t="s">
        <v>379</v>
      </c>
      <c r="G12" s="28">
        <v>42285</v>
      </c>
      <c r="H12" s="29" t="s">
        <v>175</v>
      </c>
      <c r="I12" s="29" t="s">
        <v>174</v>
      </c>
      <c r="J12" s="29"/>
      <c r="K12" s="24" t="s">
        <v>306</v>
      </c>
      <c r="L12" s="24" t="s">
        <v>525</v>
      </c>
      <c r="M12" s="81">
        <v>87.1</v>
      </c>
      <c r="N12" s="81">
        <v>35.099999999999994</v>
      </c>
      <c r="O12" s="24"/>
      <c r="P12" s="25"/>
      <c r="Q12" s="81"/>
      <c r="R12" s="25"/>
      <c r="S12" s="81"/>
      <c r="T12" s="24"/>
      <c r="U12" s="24"/>
      <c r="V12" s="24"/>
      <c r="W12" s="81"/>
      <c r="X12" s="24"/>
      <c r="Y12" s="24"/>
      <c r="Z12" s="24"/>
      <c r="AA12" s="24"/>
      <c r="AB12" s="24"/>
      <c r="AC12" s="24"/>
      <c r="AD12" s="24"/>
      <c r="AE12" s="24"/>
      <c r="AF12" s="81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 t="s">
        <v>381</v>
      </c>
      <c r="AR12" s="29" t="s">
        <v>174</v>
      </c>
      <c r="AS12" s="29"/>
      <c r="AT12" s="29"/>
      <c r="AU12" s="29" t="s">
        <v>382</v>
      </c>
      <c r="AV12" s="29">
        <v>14.2</v>
      </c>
      <c r="AW12" s="29"/>
      <c r="AX12" s="29"/>
      <c r="AY12" s="29"/>
      <c r="AZ12" s="29" t="s">
        <v>361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174</v>
      </c>
      <c r="BN12" s="29"/>
      <c r="BO12" s="29" t="s">
        <v>174</v>
      </c>
      <c r="BP12" s="29"/>
      <c r="BQ12" s="29"/>
      <c r="BR12" s="29"/>
      <c r="BS12" s="24"/>
      <c r="BT12" s="24"/>
      <c r="BU12" s="29"/>
      <c r="BV12" s="29" t="s">
        <v>174</v>
      </c>
      <c r="BW12" s="24"/>
      <c r="BX12" t="s">
        <v>76</v>
      </c>
      <c r="BY12" s="67" t="s">
        <v>452</v>
      </c>
    </row>
    <row r="13" spans="1:77" x14ac:dyDescent="0.15">
      <c r="A13" s="33">
        <v>2137</v>
      </c>
      <c r="B13" s="26">
        <v>42293</v>
      </c>
      <c r="C13" s="27" t="s">
        <v>377</v>
      </c>
      <c r="D13" s="68" t="s">
        <v>454</v>
      </c>
      <c r="E13" s="24"/>
      <c r="F13" s="24" t="s">
        <v>379</v>
      </c>
      <c r="G13" s="31">
        <v>42293</v>
      </c>
      <c r="H13" s="29" t="s">
        <v>175</v>
      </c>
      <c r="I13" s="29" t="s">
        <v>174</v>
      </c>
      <c r="J13" s="29"/>
      <c r="K13" s="24" t="s">
        <v>307</v>
      </c>
      <c r="L13" s="24" t="s">
        <v>526</v>
      </c>
      <c r="M13" s="91">
        <v>86.38</v>
      </c>
      <c r="N13" s="81">
        <v>35.099999999999994</v>
      </c>
      <c r="O13" s="24"/>
      <c r="P13" s="25"/>
      <c r="Q13" s="81"/>
      <c r="R13" s="25"/>
      <c r="S13" s="81"/>
      <c r="T13" s="25"/>
      <c r="U13" s="24"/>
      <c r="V13" s="24"/>
      <c r="W13" s="81"/>
      <c r="X13" s="24"/>
      <c r="Y13" s="24"/>
      <c r="Z13" s="24"/>
      <c r="AA13" s="24"/>
      <c r="AB13" s="24"/>
      <c r="AC13" s="24"/>
      <c r="AD13" s="24"/>
      <c r="AE13" s="24"/>
      <c r="AF13" s="81"/>
      <c r="AG13" s="24"/>
      <c r="AH13" s="24"/>
      <c r="AJ13" s="24"/>
      <c r="AK13" s="24"/>
      <c r="AL13" s="24"/>
      <c r="AM13" s="24"/>
      <c r="AN13" s="24"/>
      <c r="AO13" s="24"/>
      <c r="AP13" s="24"/>
      <c r="AQ13" t="s">
        <v>381</v>
      </c>
      <c r="AR13" s="29" t="s">
        <v>174</v>
      </c>
      <c r="AS13" s="29"/>
      <c r="AT13" s="29"/>
      <c r="AU13" s="29" t="s">
        <v>382</v>
      </c>
      <c r="AV13" s="29">
        <v>15</v>
      </c>
      <c r="AW13" s="29"/>
      <c r="AX13" s="29"/>
      <c r="AY13" s="29"/>
      <c r="AZ13" s="29" t="s">
        <v>174</v>
      </c>
      <c r="BA13" s="24"/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74" t="s">
        <v>527</v>
      </c>
      <c r="BN13" s="29"/>
      <c r="BO13" s="29" t="s">
        <v>174</v>
      </c>
      <c r="BP13" s="29"/>
      <c r="BQ13" s="29"/>
      <c r="BR13" s="29"/>
      <c r="BS13" s="30" t="s">
        <v>528</v>
      </c>
      <c r="BT13" s="30" t="s">
        <v>195</v>
      </c>
      <c r="BU13" s="29">
        <v>30</v>
      </c>
      <c r="BV13" s="29" t="s">
        <v>174</v>
      </c>
      <c r="BW13" s="24"/>
      <c r="BX13" t="s">
        <v>76</v>
      </c>
      <c r="BY13" s="67" t="s">
        <v>39</v>
      </c>
    </row>
    <row r="14" spans="1:77" x14ac:dyDescent="0.15">
      <c r="A14" s="33">
        <v>4422</v>
      </c>
      <c r="B14" s="26">
        <v>42291</v>
      </c>
      <c r="C14" s="27" t="s">
        <v>377</v>
      </c>
      <c r="D14" s="68" t="s">
        <v>454</v>
      </c>
      <c r="E14" s="24"/>
      <c r="F14" s="24" t="s">
        <v>379</v>
      </c>
      <c r="G14" s="31">
        <v>42189</v>
      </c>
      <c r="H14" s="74" t="s">
        <v>175</v>
      </c>
      <c r="I14" s="74" t="s">
        <v>174</v>
      </c>
      <c r="J14" s="29"/>
      <c r="K14" s="24" t="s">
        <v>419</v>
      </c>
      <c r="L14" s="68" t="s">
        <v>446</v>
      </c>
      <c r="M14" s="81">
        <v>120.11818181818181</v>
      </c>
      <c r="N14" s="81">
        <v>36.790909090909089</v>
      </c>
      <c r="O14" s="24"/>
      <c r="P14" s="24"/>
      <c r="Q14" s="81"/>
      <c r="R14" s="24"/>
      <c r="S14" s="81"/>
      <c r="T14" s="24"/>
      <c r="U14" s="24"/>
      <c r="V14" s="24"/>
      <c r="W14" s="81"/>
      <c r="X14" s="24"/>
      <c r="Y14" s="24"/>
      <c r="Z14" s="24"/>
      <c r="AA14" s="24"/>
      <c r="AB14" s="24"/>
      <c r="AC14" s="24"/>
      <c r="AD14" s="24"/>
      <c r="AE14" s="24"/>
      <c r="AF14" s="81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 t="s">
        <v>381</v>
      </c>
      <c r="AR14" s="29" t="s">
        <v>174</v>
      </c>
      <c r="AS14" s="29"/>
      <c r="AT14" s="29"/>
      <c r="AU14" s="74" t="s">
        <v>382</v>
      </c>
      <c r="AV14" s="29">
        <v>6.8</v>
      </c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36</v>
      </c>
      <c r="BM14" s="29" t="s">
        <v>174</v>
      </c>
      <c r="BN14" s="29"/>
      <c r="BO14" s="29" t="s">
        <v>174</v>
      </c>
      <c r="BP14" s="29"/>
      <c r="BQ14" s="29"/>
      <c r="BR14" s="29"/>
      <c r="BS14" s="30"/>
      <c r="BT14" s="30"/>
      <c r="BU14" s="29"/>
      <c r="BV14" s="29" t="s">
        <v>174</v>
      </c>
      <c r="BW14" s="24" t="s">
        <v>449</v>
      </c>
      <c r="BX14" t="s">
        <v>76</v>
      </c>
      <c r="BY14" s="32" t="s">
        <v>77</v>
      </c>
    </row>
    <row r="15" spans="1:77" x14ac:dyDescent="0.15">
      <c r="A15" s="33">
        <v>5633</v>
      </c>
      <c r="B15" s="26">
        <v>42292</v>
      </c>
      <c r="C15" s="27" t="s">
        <v>377</v>
      </c>
      <c r="D15" s="68" t="s">
        <v>454</v>
      </c>
      <c r="E15" s="24"/>
      <c r="F15" s="24" t="s">
        <v>379</v>
      </c>
      <c r="G15" s="28">
        <v>42184</v>
      </c>
      <c r="H15" s="29" t="s">
        <v>175</v>
      </c>
      <c r="I15" s="29" t="s">
        <v>174</v>
      </c>
      <c r="J15" s="29"/>
      <c r="K15" s="68" t="s">
        <v>495</v>
      </c>
      <c r="L15" s="68" t="s">
        <v>529</v>
      </c>
      <c r="M15" s="81">
        <v>110.68</v>
      </c>
      <c r="N15" s="81">
        <v>37.090000000000003</v>
      </c>
      <c r="O15" s="24"/>
      <c r="P15" s="25"/>
      <c r="Q15" s="81"/>
      <c r="R15" s="25"/>
      <c r="S15" s="81"/>
      <c r="T15" s="24"/>
      <c r="U15" s="24"/>
      <c r="V15" s="24"/>
      <c r="W15" s="81"/>
      <c r="X15" s="24"/>
      <c r="Y15" s="24"/>
      <c r="Z15" s="24"/>
      <c r="AA15" s="24"/>
      <c r="AB15" s="24"/>
      <c r="AC15" s="24"/>
      <c r="AD15" s="24"/>
      <c r="AE15" s="24"/>
      <c r="AF15" s="81"/>
      <c r="AG15" s="25"/>
      <c r="AH15" s="24"/>
      <c r="AI15" s="24"/>
      <c r="AJ15" s="24"/>
      <c r="AK15" s="24"/>
      <c r="AL15" s="24"/>
      <c r="AM15" s="24"/>
      <c r="AN15" s="24"/>
      <c r="AO15" s="24"/>
      <c r="AP15" s="24"/>
      <c r="AQ15" s="24" t="s">
        <v>381</v>
      </c>
      <c r="AR15" s="29" t="s">
        <v>174</v>
      </c>
      <c r="AS15" s="29"/>
      <c r="AT15" s="29"/>
      <c r="AU15" s="29" t="s">
        <v>382</v>
      </c>
      <c r="AV15" s="29">
        <v>10.199999999999999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12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29"/>
      <c r="BQ15" s="29"/>
      <c r="BR15" s="29"/>
      <c r="BS15" s="24"/>
      <c r="BT15" s="24"/>
      <c r="BU15" s="29"/>
      <c r="BV15" s="29" t="s">
        <v>174</v>
      </c>
      <c r="BW15" s="68"/>
      <c r="BX15" t="s">
        <v>530</v>
      </c>
      <c r="BY15" s="32" t="s">
        <v>77</v>
      </c>
    </row>
    <row r="16" spans="1:77" x14ac:dyDescent="0.15">
      <c r="A16" s="33">
        <v>4761</v>
      </c>
      <c r="B16" s="26">
        <v>42291</v>
      </c>
      <c r="C16" s="27" t="s">
        <v>377</v>
      </c>
      <c r="D16" s="68" t="s">
        <v>454</v>
      </c>
      <c r="E16" s="24"/>
      <c r="F16" s="24" t="s">
        <v>379</v>
      </c>
      <c r="G16" s="28">
        <v>42271</v>
      </c>
      <c r="H16" s="29" t="s">
        <v>175</v>
      </c>
      <c r="I16" s="29" t="s">
        <v>174</v>
      </c>
      <c r="J16" s="29"/>
      <c r="K16" s="24" t="s">
        <v>437</v>
      </c>
      <c r="L16" s="24" t="s">
        <v>498</v>
      </c>
      <c r="M16" s="81">
        <v>64.349999999999994</v>
      </c>
      <c r="N16" s="81">
        <v>35.880000000000003</v>
      </c>
      <c r="O16" s="24"/>
      <c r="P16" s="25"/>
      <c r="Q16" s="81"/>
      <c r="R16" s="25"/>
      <c r="S16" s="81"/>
      <c r="T16" s="25"/>
      <c r="U16" s="24"/>
      <c r="V16" s="24"/>
      <c r="W16" s="81"/>
      <c r="X16" s="24"/>
      <c r="Y16" s="24"/>
      <c r="Z16" s="24"/>
      <c r="AA16" s="24"/>
      <c r="AB16" s="25"/>
      <c r="AC16" s="24"/>
      <c r="AD16" s="24"/>
      <c r="AE16" s="24"/>
      <c r="AF16" s="81"/>
      <c r="AG16" s="25"/>
      <c r="AH16" s="24"/>
      <c r="AI16" s="24"/>
      <c r="AJ16" s="24"/>
      <c r="AK16" s="24"/>
      <c r="AL16" s="24"/>
      <c r="AM16" s="24"/>
      <c r="AN16" s="24"/>
      <c r="AO16" s="24"/>
      <c r="AP16" s="24"/>
      <c r="AQ16" s="24" t="s">
        <v>381</v>
      </c>
      <c r="AR16" s="29" t="s">
        <v>174</v>
      </c>
      <c r="AS16" s="29"/>
      <c r="AT16" s="29"/>
      <c r="AU16" s="29" t="s">
        <v>382</v>
      </c>
      <c r="AV16" s="29">
        <v>10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/>
      <c r="BO16" s="29" t="s">
        <v>174</v>
      </c>
      <c r="BP16" s="29"/>
      <c r="BQ16" s="29"/>
      <c r="BR16" s="29"/>
      <c r="BS16" s="30"/>
      <c r="BT16" s="30"/>
      <c r="BU16" s="29"/>
      <c r="BV16" s="29" t="s">
        <v>174</v>
      </c>
      <c r="BW16" s="24" t="s">
        <v>439</v>
      </c>
      <c r="BX16" t="s">
        <v>76</v>
      </c>
      <c r="BY16" s="67" t="s">
        <v>39</v>
      </c>
    </row>
    <row r="17" spans="1:77" x14ac:dyDescent="0.15">
      <c r="A17" s="33">
        <v>5102</v>
      </c>
      <c r="B17" s="26">
        <v>42292</v>
      </c>
      <c r="C17" s="27" t="s">
        <v>377</v>
      </c>
      <c r="D17" s="68" t="s">
        <v>454</v>
      </c>
      <c r="E17" s="24"/>
      <c r="F17" s="24" t="s">
        <v>379</v>
      </c>
      <c r="G17" s="28">
        <v>42184</v>
      </c>
      <c r="H17" s="29" t="s">
        <v>174</v>
      </c>
      <c r="I17" s="29" t="s">
        <v>500</v>
      </c>
      <c r="J17" s="29"/>
      <c r="K17" s="24" t="s">
        <v>531</v>
      </c>
      <c r="L17" s="24" t="s">
        <v>502</v>
      </c>
      <c r="M17" s="81">
        <v>95.654545454545442</v>
      </c>
      <c r="N17" s="81">
        <v>29.099999999999994</v>
      </c>
      <c r="O17" s="24"/>
      <c r="P17" s="25"/>
      <c r="Q17" s="81"/>
      <c r="R17" s="25"/>
      <c r="S17" s="81"/>
      <c r="T17" s="25"/>
      <c r="U17" s="24"/>
      <c r="V17" s="24"/>
      <c r="W17" s="81"/>
      <c r="X17" s="24"/>
      <c r="Y17" s="24"/>
      <c r="Z17" s="24"/>
      <c r="AA17" s="24"/>
      <c r="AB17" s="24"/>
      <c r="AC17" s="24"/>
      <c r="AD17" s="24"/>
      <c r="AE17" s="24"/>
      <c r="AF17" s="81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 t="s">
        <v>381</v>
      </c>
      <c r="AR17" s="29" t="s">
        <v>174</v>
      </c>
      <c r="AS17" s="29"/>
      <c r="AT17" s="29"/>
      <c r="AU17" s="29"/>
      <c r="AV17" s="29"/>
      <c r="AW17" s="29"/>
      <c r="AX17" s="29"/>
      <c r="AY17" s="29"/>
      <c r="AZ17" s="29" t="s">
        <v>174</v>
      </c>
      <c r="BA17" s="24"/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29"/>
      <c r="BN17" s="29"/>
      <c r="BO17" s="29" t="s">
        <v>174</v>
      </c>
      <c r="BP17" s="96">
        <v>71.818179999999998</v>
      </c>
      <c r="BQ17" s="29"/>
      <c r="BR17" s="29"/>
      <c r="BS17" s="24"/>
      <c r="BT17" s="24"/>
      <c r="BU17" s="29"/>
      <c r="BV17" s="29" t="s">
        <v>174</v>
      </c>
      <c r="BW17" s="24" t="s">
        <v>504</v>
      </c>
      <c r="BX17" s="66" t="s">
        <v>76</v>
      </c>
      <c r="BY17" s="32" t="s">
        <v>77</v>
      </c>
    </row>
    <row r="18" spans="1:77" x14ac:dyDescent="0.15">
      <c r="A18" s="33">
        <v>4249</v>
      </c>
      <c r="B18" s="26">
        <v>42291</v>
      </c>
      <c r="C18" s="27" t="s">
        <v>377</v>
      </c>
      <c r="D18" s="68" t="s">
        <v>454</v>
      </c>
      <c r="E18" s="24"/>
      <c r="F18" s="24" t="s">
        <v>403</v>
      </c>
      <c r="G18" s="28">
        <v>42291</v>
      </c>
      <c r="H18" s="29" t="s">
        <v>175</v>
      </c>
      <c r="I18" s="29" t="s">
        <v>174</v>
      </c>
      <c r="J18" s="29"/>
      <c r="K18" s="24" t="s">
        <v>296</v>
      </c>
      <c r="L18" s="24" t="s">
        <v>510</v>
      </c>
      <c r="M18" s="81">
        <v>78.318181818181813</v>
      </c>
      <c r="N18" s="81">
        <v>35.036363636363632</v>
      </c>
      <c r="O18" s="24"/>
      <c r="P18" s="25"/>
      <c r="Q18" s="81"/>
      <c r="R18" s="25"/>
      <c r="S18" s="81"/>
      <c r="T18" s="25"/>
      <c r="U18" s="24"/>
      <c r="V18" s="24"/>
      <c r="W18" s="81"/>
      <c r="X18" s="24"/>
      <c r="Y18" s="24"/>
      <c r="Z18" s="24"/>
      <c r="AA18" s="24"/>
      <c r="AB18" s="25"/>
      <c r="AC18" s="24"/>
      <c r="AD18" s="24"/>
      <c r="AE18" s="24"/>
      <c r="AF18" s="81">
        <v>17.690909090909091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 t="s">
        <v>404</v>
      </c>
      <c r="AR18" s="29" t="s">
        <v>174</v>
      </c>
      <c r="AS18" s="29"/>
      <c r="AT18" s="29"/>
      <c r="AU18" s="29" t="s">
        <v>382</v>
      </c>
      <c r="AV18" s="29">
        <v>14.2</v>
      </c>
      <c r="AW18" s="29"/>
      <c r="AX18" s="29"/>
      <c r="AY18" s="29"/>
      <c r="AZ18" s="29" t="s">
        <v>361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29" t="s">
        <v>174</v>
      </c>
      <c r="BN18" s="29">
        <v>24</v>
      </c>
      <c r="BO18" s="29" t="s">
        <v>174</v>
      </c>
      <c r="BP18" s="29"/>
      <c r="BQ18" s="29">
        <v>24</v>
      </c>
      <c r="BR18" s="29"/>
      <c r="BS18" s="30"/>
      <c r="BT18" s="30"/>
      <c r="BU18" s="29"/>
      <c r="BV18" s="29" t="s">
        <v>174</v>
      </c>
      <c r="BW18" s="24"/>
      <c r="BX18" s="66" t="s">
        <v>76</v>
      </c>
      <c r="BY18" s="67" t="s">
        <v>39</v>
      </c>
    </row>
    <row r="19" spans="1:77" x14ac:dyDescent="0.15">
      <c r="A19" s="33">
        <v>5548</v>
      </c>
      <c r="B19" s="26">
        <v>42291</v>
      </c>
      <c r="C19" s="27" t="s">
        <v>377</v>
      </c>
      <c r="D19" s="68" t="s">
        <v>454</v>
      </c>
      <c r="E19" s="24"/>
      <c r="F19" s="24" t="s">
        <v>403</v>
      </c>
      <c r="G19" s="31">
        <v>42262</v>
      </c>
      <c r="H19" s="29" t="s">
        <v>175</v>
      </c>
      <c r="I19" s="29" t="s">
        <v>174</v>
      </c>
      <c r="J19" s="29"/>
      <c r="K19" s="24" t="s">
        <v>297</v>
      </c>
      <c r="L19" s="24" t="s">
        <v>511</v>
      </c>
      <c r="M19" s="81">
        <v>90.5</v>
      </c>
      <c r="N19" s="81">
        <v>33.972727272727269</v>
      </c>
      <c r="O19" s="24"/>
      <c r="P19" s="25"/>
      <c r="Q19" s="81"/>
      <c r="R19" s="25"/>
      <c r="S19" s="81"/>
      <c r="T19" s="25"/>
      <c r="U19" s="24"/>
      <c r="V19" s="24"/>
      <c r="W19" s="81"/>
      <c r="X19" s="24"/>
      <c r="Y19" s="24"/>
      <c r="Z19" s="24"/>
      <c r="AA19" s="24"/>
      <c r="AB19" s="24"/>
      <c r="AC19" s="24"/>
      <c r="AD19" s="24"/>
      <c r="AE19" s="24"/>
      <c r="AF19" s="81">
        <v>15.509090909090906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 t="s">
        <v>404</v>
      </c>
      <c r="AR19" s="29" t="s">
        <v>174</v>
      </c>
      <c r="AS19" s="29"/>
      <c r="AT19" s="29"/>
      <c r="AU19" s="29" t="s">
        <v>382</v>
      </c>
      <c r="AV19" s="29">
        <v>9.5</v>
      </c>
      <c r="AW19" s="29"/>
      <c r="AX19" s="29"/>
      <c r="AY19" s="29"/>
      <c r="AZ19" s="29" t="s">
        <v>174</v>
      </c>
      <c r="BA19" s="24"/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29" t="s">
        <v>174</v>
      </c>
      <c r="BN19" s="29"/>
      <c r="BO19" s="29" t="s">
        <v>174</v>
      </c>
      <c r="BP19" s="29"/>
      <c r="BQ19" s="29"/>
      <c r="BR19" s="29"/>
      <c r="BS19" s="24"/>
      <c r="BT19" s="24"/>
      <c r="BU19" s="29"/>
      <c r="BV19" s="29" t="s">
        <v>174</v>
      </c>
      <c r="BW19" s="68" t="s">
        <v>439</v>
      </c>
      <c r="BX19" s="66" t="s">
        <v>76</v>
      </c>
      <c r="BY19" s="67" t="s">
        <v>39</v>
      </c>
    </row>
    <row r="20" spans="1:77" x14ac:dyDescent="0.15">
      <c r="A20" s="33">
        <v>5587</v>
      </c>
      <c r="B20" s="26">
        <v>42291</v>
      </c>
      <c r="C20" s="27" t="s">
        <v>377</v>
      </c>
      <c r="D20" s="68" t="s">
        <v>454</v>
      </c>
      <c r="E20" s="24"/>
      <c r="F20" s="24" t="s">
        <v>403</v>
      </c>
      <c r="G20" s="28">
        <v>42185</v>
      </c>
      <c r="H20" s="29" t="s">
        <v>175</v>
      </c>
      <c r="I20" s="29" t="s">
        <v>174</v>
      </c>
      <c r="J20" s="29"/>
      <c r="K20" s="24" t="s">
        <v>298</v>
      </c>
      <c r="L20" s="68" t="s">
        <v>512</v>
      </c>
      <c r="M20" s="81">
        <v>70.86363636363636</v>
      </c>
      <c r="N20" s="81">
        <v>34.354545454545452</v>
      </c>
      <c r="O20" s="24"/>
      <c r="P20" s="24"/>
      <c r="Q20" s="81"/>
      <c r="R20" s="24"/>
      <c r="S20" s="81"/>
      <c r="T20" s="24"/>
      <c r="U20" s="24"/>
      <c r="V20" s="24"/>
      <c r="W20" s="81"/>
      <c r="X20" s="24"/>
      <c r="Y20" s="24"/>
      <c r="Z20" s="24"/>
      <c r="AA20" s="24"/>
      <c r="AB20" s="24"/>
      <c r="AC20" s="24"/>
      <c r="AD20" s="24"/>
      <c r="AE20" s="24"/>
      <c r="AF20" s="81">
        <v>17.409090909090907</v>
      </c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 t="s">
        <v>404</v>
      </c>
      <c r="AR20" s="29" t="s">
        <v>174</v>
      </c>
      <c r="AS20" s="29"/>
      <c r="AT20" s="29"/>
      <c r="AU20" s="29" t="s">
        <v>382</v>
      </c>
      <c r="AV20" s="29">
        <v>14</v>
      </c>
      <c r="AW20" s="29"/>
      <c r="AX20" s="29"/>
      <c r="AY20" s="29"/>
      <c r="AZ20" s="29" t="s">
        <v>174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29" t="s">
        <v>174</v>
      </c>
      <c r="BN20" s="29"/>
      <c r="BO20" s="29" t="s">
        <v>174</v>
      </c>
      <c r="BP20" s="29"/>
      <c r="BQ20" s="29"/>
      <c r="BR20" s="29"/>
      <c r="BS20" s="30" t="s">
        <v>513</v>
      </c>
      <c r="BT20" s="30" t="s">
        <v>514</v>
      </c>
      <c r="BU20" s="29">
        <v>50</v>
      </c>
      <c r="BV20" s="29" t="s">
        <v>174</v>
      </c>
      <c r="BW20" s="24" t="s">
        <v>449</v>
      </c>
      <c r="BX20" s="66" t="s">
        <v>532</v>
      </c>
      <c r="BY20" s="32" t="s">
        <v>77</v>
      </c>
    </row>
    <row r="21" spans="1:77" x14ac:dyDescent="0.15">
      <c r="A21" s="33">
        <v>241</v>
      </c>
      <c r="B21" s="26">
        <v>42291</v>
      </c>
      <c r="C21" s="27" t="s">
        <v>377</v>
      </c>
      <c r="D21" s="68" t="s">
        <v>454</v>
      </c>
      <c r="E21" s="24"/>
      <c r="F21" s="24" t="s">
        <v>403</v>
      </c>
      <c r="G21" s="28">
        <v>42249</v>
      </c>
      <c r="H21" s="29" t="s">
        <v>175</v>
      </c>
      <c r="I21" s="29" t="s">
        <v>174</v>
      </c>
      <c r="J21" s="29"/>
      <c r="K21" s="24" t="s">
        <v>299</v>
      </c>
      <c r="L21" s="24" t="s">
        <v>446</v>
      </c>
      <c r="M21" s="81">
        <v>95.663636363636357</v>
      </c>
      <c r="N21" s="81">
        <v>33.754545454545458</v>
      </c>
      <c r="O21" s="24"/>
      <c r="P21" s="25"/>
      <c r="Q21" s="81"/>
      <c r="R21" s="25"/>
      <c r="S21" s="81"/>
      <c r="T21" s="24"/>
      <c r="U21" s="24"/>
      <c r="V21" s="24"/>
      <c r="W21" s="81"/>
      <c r="X21" s="24"/>
      <c r="Y21" s="24"/>
      <c r="Z21" s="24"/>
      <c r="AA21" s="24"/>
      <c r="AB21" s="24"/>
      <c r="AC21" s="24"/>
      <c r="AD21" s="24"/>
      <c r="AE21" s="24"/>
      <c r="AF21" s="81">
        <v>20.563636363636363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 t="s">
        <v>404</v>
      </c>
      <c r="AR21" s="29" t="s">
        <v>174</v>
      </c>
      <c r="AS21" s="29"/>
      <c r="AT21" s="29"/>
      <c r="AU21" s="29" t="s">
        <v>382</v>
      </c>
      <c r="AV21" s="29">
        <v>11.6</v>
      </c>
      <c r="AW21" s="29"/>
      <c r="AX21" s="29"/>
      <c r="AY21" s="29"/>
      <c r="AZ21" s="29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29" t="s">
        <v>174</v>
      </c>
      <c r="BN21" s="29"/>
      <c r="BO21" s="29" t="s">
        <v>174</v>
      </c>
      <c r="BP21" s="29"/>
      <c r="BQ21" s="29"/>
      <c r="BR21" s="29"/>
      <c r="BS21" s="30"/>
      <c r="BT21" s="24"/>
      <c r="BU21" s="29"/>
      <c r="BV21" s="29" t="s">
        <v>174</v>
      </c>
      <c r="BW21" s="24"/>
      <c r="BX21" t="s">
        <v>533</v>
      </c>
      <c r="BY21" s="32" t="s">
        <v>77</v>
      </c>
    </row>
    <row r="22" spans="1:77" x14ac:dyDescent="0.15">
      <c r="A22" s="33">
        <v>5769</v>
      </c>
      <c r="B22" s="26">
        <v>42291</v>
      </c>
      <c r="C22" s="27" t="s">
        <v>377</v>
      </c>
      <c r="D22" s="68" t="s">
        <v>454</v>
      </c>
      <c r="E22" s="24"/>
      <c r="F22" s="24" t="s">
        <v>403</v>
      </c>
      <c r="G22" s="28">
        <v>42247</v>
      </c>
      <c r="H22" s="29" t="s">
        <v>175</v>
      </c>
      <c r="I22" s="29" t="s">
        <v>174</v>
      </c>
      <c r="J22" s="29"/>
      <c r="K22" s="24" t="s">
        <v>300</v>
      </c>
      <c r="L22" s="24" t="s">
        <v>517</v>
      </c>
      <c r="M22" s="81">
        <v>99.5</v>
      </c>
      <c r="N22" s="81">
        <v>37.554545454545455</v>
      </c>
      <c r="O22" s="24" t="s">
        <v>518</v>
      </c>
      <c r="P22" s="25">
        <v>1000</v>
      </c>
      <c r="Q22" s="81">
        <v>39.954545454545453</v>
      </c>
      <c r="R22" s="25"/>
      <c r="S22" s="81"/>
      <c r="T22" s="25"/>
      <c r="U22" s="24"/>
      <c r="V22" s="24"/>
      <c r="W22" s="81"/>
      <c r="X22" s="24"/>
      <c r="Y22" s="24"/>
      <c r="Z22" s="24"/>
      <c r="AA22" s="24"/>
      <c r="AB22" s="24"/>
      <c r="AC22" s="24"/>
      <c r="AD22" s="24"/>
      <c r="AE22" s="24"/>
      <c r="AF22" s="81">
        <v>19.954545454545453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 t="s">
        <v>404</v>
      </c>
      <c r="AR22" s="29" t="s">
        <v>174</v>
      </c>
      <c r="AS22" s="29"/>
      <c r="AT22" s="29"/>
      <c r="AU22" s="29" t="s">
        <v>382</v>
      </c>
      <c r="AV22" s="29">
        <v>12</v>
      </c>
      <c r="AW22" s="29"/>
      <c r="AX22" s="29"/>
      <c r="AY22" s="29"/>
      <c r="AZ22" s="29" t="s">
        <v>361</v>
      </c>
      <c r="BA22" s="24"/>
      <c r="BB22" s="29">
        <v>0</v>
      </c>
      <c r="BC22" s="29">
        <v>0</v>
      </c>
      <c r="BD22" s="29">
        <v>7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29" t="s">
        <v>174</v>
      </c>
      <c r="BN22" s="29"/>
      <c r="BO22" s="29" t="s">
        <v>174</v>
      </c>
      <c r="BP22" s="29"/>
      <c r="BQ22" s="29"/>
      <c r="BR22" s="29"/>
      <c r="BS22" s="24"/>
      <c r="BT22" s="24"/>
      <c r="BU22" s="29"/>
      <c r="BV22" s="29" t="s">
        <v>174</v>
      </c>
      <c r="BW22" s="24"/>
      <c r="BX22" t="s">
        <v>519</v>
      </c>
      <c r="BY22" s="32" t="s">
        <v>77</v>
      </c>
    </row>
    <row r="23" spans="1:77" x14ac:dyDescent="0.15">
      <c r="A23" s="33">
        <v>929</v>
      </c>
      <c r="B23" s="26">
        <v>42291</v>
      </c>
      <c r="C23" s="27" t="s">
        <v>377</v>
      </c>
      <c r="D23" s="68" t="s">
        <v>454</v>
      </c>
      <c r="E23" s="24"/>
      <c r="F23" s="24" t="s">
        <v>403</v>
      </c>
      <c r="G23" s="28">
        <v>42200</v>
      </c>
      <c r="H23" s="29" t="s">
        <v>175</v>
      </c>
      <c r="I23" s="29" t="s">
        <v>174</v>
      </c>
      <c r="J23" s="29"/>
      <c r="K23" s="24" t="s">
        <v>303</v>
      </c>
      <c r="L23" s="24" t="s">
        <v>522</v>
      </c>
      <c r="M23" s="81">
        <v>95.89</v>
      </c>
      <c r="N23" s="81">
        <v>31.127272727272725</v>
      </c>
      <c r="O23" s="24"/>
      <c r="P23" s="25"/>
      <c r="Q23" s="81"/>
      <c r="R23" s="25"/>
      <c r="S23" s="81"/>
      <c r="T23" s="25"/>
      <c r="U23" s="24"/>
      <c r="V23" s="24"/>
      <c r="W23" s="81"/>
      <c r="X23" s="25"/>
      <c r="Y23" s="24"/>
      <c r="Z23" s="25"/>
      <c r="AA23" s="24"/>
      <c r="AB23" s="25"/>
      <c r="AC23" s="24"/>
      <c r="AD23" s="24"/>
      <c r="AE23" s="24"/>
      <c r="AF23" s="81">
        <v>18.3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 t="s">
        <v>404</v>
      </c>
      <c r="AR23" s="29" t="s">
        <v>174</v>
      </c>
      <c r="AS23" s="29"/>
      <c r="AT23" s="29"/>
      <c r="AU23" s="29"/>
      <c r="AV23" s="29"/>
      <c r="AW23" s="29"/>
      <c r="AX23" s="29"/>
      <c r="AY23" s="29"/>
      <c r="AZ23" s="29" t="s">
        <v>174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/>
      <c r="BO23" s="29" t="s">
        <v>174</v>
      </c>
      <c r="BP23" s="29"/>
      <c r="BQ23" s="29"/>
      <c r="BR23" s="29"/>
      <c r="BS23" s="24"/>
      <c r="BT23" s="24"/>
      <c r="BU23" s="29"/>
      <c r="BV23" s="29" t="s">
        <v>174</v>
      </c>
      <c r="BW23" s="24"/>
      <c r="BX23" s="66" t="s">
        <v>76</v>
      </c>
      <c r="BY23" s="67" t="s">
        <v>77</v>
      </c>
    </row>
    <row r="24" spans="1:77" x14ac:dyDescent="0.15">
      <c r="A24" s="33">
        <v>5407</v>
      </c>
      <c r="B24" s="26">
        <v>42292</v>
      </c>
      <c r="C24" s="27" t="s">
        <v>377</v>
      </c>
      <c r="D24" s="68" t="s">
        <v>454</v>
      </c>
      <c r="E24" s="24"/>
      <c r="F24" s="24" t="s">
        <v>403</v>
      </c>
      <c r="G24" s="26">
        <v>42186</v>
      </c>
      <c r="H24" s="29" t="s">
        <v>175</v>
      </c>
      <c r="I24" s="29" t="s">
        <v>174</v>
      </c>
      <c r="J24" s="29"/>
      <c r="K24" s="24" t="s">
        <v>304</v>
      </c>
      <c r="L24" s="24" t="s">
        <v>523</v>
      </c>
      <c r="M24" s="81">
        <v>90.109090909090909</v>
      </c>
      <c r="N24" s="81">
        <v>39.809090909090905</v>
      </c>
      <c r="O24" s="24"/>
      <c r="P24" s="25"/>
      <c r="Q24" s="81"/>
      <c r="R24" s="25"/>
      <c r="S24" s="81"/>
      <c r="T24" s="24"/>
      <c r="U24" s="24"/>
      <c r="V24" s="24"/>
      <c r="W24" s="81"/>
      <c r="X24" s="24"/>
      <c r="Y24" s="24"/>
      <c r="Z24" s="24"/>
      <c r="AA24" s="24"/>
      <c r="AB24" s="24"/>
      <c r="AC24" s="24"/>
      <c r="AD24" s="24"/>
      <c r="AE24" s="24"/>
      <c r="AF24" s="81">
        <v>19.854545454545452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10</v>
      </c>
      <c r="AW24" s="29"/>
      <c r="AX24" s="29"/>
      <c r="AY24" s="29"/>
      <c r="AZ24" s="29" t="s">
        <v>361</v>
      </c>
      <c r="BA24" s="24"/>
      <c r="BB24" s="29">
        <v>14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>
        <v>12</v>
      </c>
      <c r="BM24" s="29" t="s">
        <v>175</v>
      </c>
      <c r="BN24" s="29">
        <v>12</v>
      </c>
      <c r="BO24" s="29" t="s">
        <v>174</v>
      </c>
      <c r="BP24" s="29"/>
      <c r="BQ24" s="29"/>
      <c r="BR24" s="29"/>
      <c r="BS24" s="24"/>
      <c r="BT24" s="24"/>
      <c r="BU24" s="29"/>
      <c r="BV24" s="29" t="s">
        <v>174</v>
      </c>
      <c r="BW24" s="24"/>
      <c r="BX24" s="66" t="s">
        <v>76</v>
      </c>
      <c r="BY24" s="67" t="s">
        <v>77</v>
      </c>
    </row>
    <row r="25" spans="1:77" x14ac:dyDescent="0.15">
      <c r="A25" s="33">
        <v>5319</v>
      </c>
      <c r="B25" s="26">
        <v>42292</v>
      </c>
      <c r="C25" s="27" t="s">
        <v>377</v>
      </c>
      <c r="D25" s="68" t="s">
        <v>454</v>
      </c>
      <c r="E25" s="24"/>
      <c r="F25" s="24" t="s">
        <v>403</v>
      </c>
      <c r="G25" s="28">
        <v>42279</v>
      </c>
      <c r="H25" s="29" t="s">
        <v>175</v>
      </c>
      <c r="I25" s="29" t="s">
        <v>174</v>
      </c>
      <c r="J25" s="29"/>
      <c r="K25" s="24" t="s">
        <v>305</v>
      </c>
      <c r="L25" s="24" t="s">
        <v>524</v>
      </c>
      <c r="M25" s="81">
        <v>89</v>
      </c>
      <c r="N25" s="81">
        <v>39.818181818181813</v>
      </c>
      <c r="O25" s="24"/>
      <c r="P25" s="24"/>
      <c r="Q25" s="81"/>
      <c r="R25" s="25"/>
      <c r="S25" s="81"/>
      <c r="T25" s="25"/>
      <c r="U25" s="24"/>
      <c r="V25" s="24"/>
      <c r="W25" s="81"/>
      <c r="X25" s="24"/>
      <c r="Y25" s="24"/>
      <c r="Z25" s="25"/>
      <c r="AA25" s="24"/>
      <c r="AB25" s="25"/>
      <c r="AC25" s="24"/>
      <c r="AD25" s="24"/>
      <c r="AE25" s="24"/>
      <c r="AF25" s="81">
        <v>20.109090909090909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14.2</v>
      </c>
      <c r="AW25" s="29"/>
      <c r="AX25" s="29"/>
      <c r="AY25" s="29"/>
      <c r="AZ25" s="29" t="s">
        <v>361</v>
      </c>
      <c r="BA25" s="24"/>
      <c r="BB25" s="29">
        <v>15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>
        <v>24</v>
      </c>
      <c r="BO25" s="29" t="s">
        <v>174</v>
      </c>
      <c r="BP25" s="29"/>
      <c r="BQ25" s="29"/>
      <c r="BR25" s="29"/>
      <c r="BS25" s="24"/>
      <c r="BT25" s="24"/>
      <c r="BU25" s="29"/>
      <c r="BV25" s="29" t="s">
        <v>174</v>
      </c>
      <c r="BW25" s="30"/>
      <c r="BX25" s="66" t="s">
        <v>76</v>
      </c>
      <c r="BY25" s="32" t="s">
        <v>39</v>
      </c>
    </row>
    <row r="26" spans="1:77" x14ac:dyDescent="0.15">
      <c r="A26" s="33">
        <v>5941</v>
      </c>
      <c r="B26" s="26">
        <v>42293</v>
      </c>
      <c r="C26" s="27" t="s">
        <v>377</v>
      </c>
      <c r="D26" s="68" t="s">
        <v>454</v>
      </c>
      <c r="E26" s="24"/>
      <c r="F26" s="24" t="s">
        <v>403</v>
      </c>
      <c r="G26" s="28">
        <v>42285</v>
      </c>
      <c r="H26" s="29" t="s">
        <v>175</v>
      </c>
      <c r="I26" s="29" t="s">
        <v>174</v>
      </c>
      <c r="J26" s="29"/>
      <c r="K26" s="24" t="s">
        <v>306</v>
      </c>
      <c r="L26" s="24" t="s">
        <v>525</v>
      </c>
      <c r="M26" s="81">
        <v>87.1</v>
      </c>
      <c r="N26" s="81">
        <v>35.099999999999994</v>
      </c>
      <c r="O26" s="24"/>
      <c r="P26" s="25"/>
      <c r="Q26" s="81"/>
      <c r="R26" s="25"/>
      <c r="S26" s="81"/>
      <c r="T26" s="25"/>
      <c r="U26" s="24"/>
      <c r="V26" s="24"/>
      <c r="W26" s="81"/>
      <c r="X26" s="24"/>
      <c r="Y26" s="24"/>
      <c r="Z26" s="25"/>
      <c r="AA26" s="24"/>
      <c r="AB26" s="25"/>
      <c r="AC26" s="24"/>
      <c r="AD26" s="24"/>
      <c r="AE26" s="24"/>
      <c r="AF26" s="81">
        <v>19.299999999999997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14.2</v>
      </c>
      <c r="AW26" s="29"/>
      <c r="AX26" s="29"/>
      <c r="AY26" s="29"/>
      <c r="AZ26" s="29" t="s">
        <v>361</v>
      </c>
      <c r="BA26" s="24"/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/>
      <c r="BO26" s="29" t="s">
        <v>174</v>
      </c>
      <c r="BP26" s="29"/>
      <c r="BQ26" s="29"/>
      <c r="BR26" s="29"/>
      <c r="BS26" s="30"/>
      <c r="BT26" s="30"/>
      <c r="BU26" s="29"/>
      <c r="BV26" s="29" t="s">
        <v>174</v>
      </c>
      <c r="BW26" s="24"/>
      <c r="BX26" t="s">
        <v>76</v>
      </c>
      <c r="BY26" s="32" t="s">
        <v>452</v>
      </c>
    </row>
    <row r="27" spans="1:77" x14ac:dyDescent="0.15">
      <c r="A27" s="33">
        <v>2136</v>
      </c>
      <c r="B27" s="26">
        <v>42293</v>
      </c>
      <c r="C27" s="27" t="s">
        <v>377</v>
      </c>
      <c r="D27" s="68" t="s">
        <v>454</v>
      </c>
      <c r="E27" s="24"/>
      <c r="F27" s="24" t="s">
        <v>403</v>
      </c>
      <c r="G27" s="28">
        <v>42293</v>
      </c>
      <c r="H27" s="29" t="s">
        <v>175</v>
      </c>
      <c r="I27" s="29" t="s">
        <v>174</v>
      </c>
      <c r="J27" s="29"/>
      <c r="K27" s="24" t="s">
        <v>307</v>
      </c>
      <c r="L27" s="24" t="s">
        <v>526</v>
      </c>
      <c r="M27" s="81">
        <v>86.38</v>
      </c>
      <c r="N27" s="81">
        <v>35.099999999999994</v>
      </c>
      <c r="O27" s="24"/>
      <c r="P27" s="25"/>
      <c r="Q27" s="81"/>
      <c r="R27" s="25"/>
      <c r="S27" s="81"/>
      <c r="T27" s="24"/>
      <c r="U27" s="24"/>
      <c r="V27" s="24"/>
      <c r="W27" s="81"/>
      <c r="X27" s="24"/>
      <c r="Y27" s="24"/>
      <c r="Z27" s="24"/>
      <c r="AA27" s="24"/>
      <c r="AB27" s="24"/>
      <c r="AC27" s="24"/>
      <c r="AD27" s="24"/>
      <c r="AE27" s="24"/>
      <c r="AF27" s="81">
        <v>20.172727272727272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15</v>
      </c>
      <c r="AW27" s="29"/>
      <c r="AX27" s="29"/>
      <c r="AY27" s="29"/>
      <c r="AZ27" s="29" t="s">
        <v>174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527</v>
      </c>
      <c r="BN27" s="29"/>
      <c r="BO27" s="29" t="s">
        <v>174</v>
      </c>
      <c r="BP27" s="29"/>
      <c r="BQ27" s="29"/>
      <c r="BR27" s="29"/>
      <c r="BS27" s="24" t="s">
        <v>528</v>
      </c>
      <c r="BT27" s="24" t="s">
        <v>195</v>
      </c>
      <c r="BU27" s="29">
        <v>30</v>
      </c>
      <c r="BV27" s="29" t="s">
        <v>174</v>
      </c>
      <c r="BW27" s="24"/>
      <c r="BX27" t="s">
        <v>76</v>
      </c>
      <c r="BY27" s="67" t="s">
        <v>39</v>
      </c>
    </row>
    <row r="28" spans="1:77" x14ac:dyDescent="0.15">
      <c r="A28" s="33">
        <v>4421</v>
      </c>
      <c r="B28" s="26">
        <v>42291</v>
      </c>
      <c r="C28" s="27" t="s">
        <v>377</v>
      </c>
      <c r="D28" s="68" t="s">
        <v>454</v>
      </c>
      <c r="E28" s="24"/>
      <c r="F28" s="24" t="s">
        <v>403</v>
      </c>
      <c r="G28" s="31">
        <v>42189</v>
      </c>
      <c r="H28" s="29" t="s">
        <v>175</v>
      </c>
      <c r="I28" s="29" t="s">
        <v>174</v>
      </c>
      <c r="J28" s="29"/>
      <c r="K28" s="24" t="s">
        <v>419</v>
      </c>
      <c r="L28" s="24" t="s">
        <v>446</v>
      </c>
      <c r="M28" s="81">
        <v>120.11818181818181</v>
      </c>
      <c r="N28" s="81">
        <v>36.790909090909089</v>
      </c>
      <c r="O28" s="24"/>
      <c r="P28" s="25"/>
      <c r="Q28" s="81"/>
      <c r="R28" s="25"/>
      <c r="S28" s="81"/>
      <c r="T28" s="25"/>
      <c r="U28" s="24"/>
      <c r="V28" s="24"/>
      <c r="W28" s="81"/>
      <c r="X28" s="24"/>
      <c r="Y28" s="24"/>
      <c r="Z28" s="24"/>
      <c r="AA28" s="24"/>
      <c r="AB28" s="24"/>
      <c r="AC28" s="24"/>
      <c r="AD28" s="24"/>
      <c r="AE28" s="24"/>
      <c r="AF28" s="81">
        <v>27.25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6.8</v>
      </c>
      <c r="AW28" s="29"/>
      <c r="AX28" s="29"/>
      <c r="AY28" s="29"/>
      <c r="AZ28" s="29" t="s">
        <v>174</v>
      </c>
      <c r="BA28" s="24"/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>
        <v>36</v>
      </c>
      <c r="BM28" s="74" t="s">
        <v>174</v>
      </c>
      <c r="BN28" s="29"/>
      <c r="BO28" s="29" t="s">
        <v>174</v>
      </c>
      <c r="BP28" s="29"/>
      <c r="BQ28" s="29"/>
      <c r="BR28" s="29"/>
      <c r="BS28" s="30"/>
      <c r="BT28" s="30"/>
      <c r="BU28" s="29"/>
      <c r="BV28" s="29" t="s">
        <v>174</v>
      </c>
      <c r="BW28" s="24" t="s">
        <v>449</v>
      </c>
      <c r="BX28" t="s">
        <v>76</v>
      </c>
      <c r="BY28" s="67" t="s">
        <v>77</v>
      </c>
    </row>
    <row r="29" spans="1:77" x14ac:dyDescent="0.15">
      <c r="A29" s="33">
        <v>5632</v>
      </c>
      <c r="B29" s="26">
        <v>42292</v>
      </c>
      <c r="C29" s="27" t="s">
        <v>377</v>
      </c>
      <c r="D29" s="68" t="s">
        <v>454</v>
      </c>
      <c r="E29" s="24"/>
      <c r="F29" s="24" t="s">
        <v>403</v>
      </c>
      <c r="G29" s="31">
        <v>42184</v>
      </c>
      <c r="H29" s="74" t="s">
        <v>175</v>
      </c>
      <c r="I29" s="74" t="s">
        <v>174</v>
      </c>
      <c r="J29" s="29"/>
      <c r="K29" s="24" t="s">
        <v>495</v>
      </c>
      <c r="L29" s="68" t="s">
        <v>529</v>
      </c>
      <c r="M29" s="81">
        <v>110.68</v>
      </c>
      <c r="N29" s="81">
        <v>37.090000000000003</v>
      </c>
      <c r="O29" s="24"/>
      <c r="P29" s="24"/>
      <c r="Q29" s="81"/>
      <c r="R29" s="24"/>
      <c r="S29" s="81"/>
      <c r="T29" s="24"/>
      <c r="U29" s="24"/>
      <c r="V29" s="24"/>
      <c r="W29" s="81"/>
      <c r="X29" s="24"/>
      <c r="Y29" s="24"/>
      <c r="Z29" s="24"/>
      <c r="AA29" s="24"/>
      <c r="AB29" s="24"/>
      <c r="AC29" s="24"/>
      <c r="AD29" s="24"/>
      <c r="AE29" s="24"/>
      <c r="AF29" s="81">
        <v>20.454545454545453</v>
      </c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 t="s">
        <v>404</v>
      </c>
      <c r="AR29" s="29" t="s">
        <v>174</v>
      </c>
      <c r="AS29" s="29"/>
      <c r="AT29" s="29"/>
      <c r="AU29" s="74" t="s">
        <v>382</v>
      </c>
      <c r="AV29" s="29">
        <v>10.199999999999999</v>
      </c>
      <c r="AW29" s="29"/>
      <c r="AX29" s="29"/>
      <c r="AY29" s="29"/>
      <c r="AZ29" s="29" t="s">
        <v>361</v>
      </c>
      <c r="BA29" s="24"/>
      <c r="BB29" s="29">
        <v>0</v>
      </c>
      <c r="BC29" s="29">
        <v>0</v>
      </c>
      <c r="BD29" s="29">
        <v>12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/>
      <c r="BO29" s="29" t="s">
        <v>174</v>
      </c>
      <c r="BP29" s="29"/>
      <c r="BQ29" s="29"/>
      <c r="BR29" s="29"/>
      <c r="BS29" s="30"/>
      <c r="BT29" s="30"/>
      <c r="BU29" s="29"/>
      <c r="BV29" s="29" t="s">
        <v>174</v>
      </c>
      <c r="BW29" s="24"/>
      <c r="BX29" t="s">
        <v>530</v>
      </c>
      <c r="BY29" s="32" t="s">
        <v>77</v>
      </c>
    </row>
    <row r="30" spans="1:77" x14ac:dyDescent="0.15">
      <c r="A30" s="33">
        <v>4760</v>
      </c>
      <c r="B30" s="26">
        <v>42291</v>
      </c>
      <c r="C30" s="27" t="s">
        <v>377</v>
      </c>
      <c r="D30" s="68" t="s">
        <v>454</v>
      </c>
      <c r="E30" s="24"/>
      <c r="F30" s="24" t="s">
        <v>403</v>
      </c>
      <c r="G30" s="28">
        <v>42271</v>
      </c>
      <c r="H30" s="29" t="s">
        <v>175</v>
      </c>
      <c r="I30" s="29" t="s">
        <v>174</v>
      </c>
      <c r="J30" s="29"/>
      <c r="K30" s="68" t="s">
        <v>437</v>
      </c>
      <c r="L30" s="68" t="s">
        <v>498</v>
      </c>
      <c r="M30" s="81">
        <v>64.349999999999994</v>
      </c>
      <c r="N30" s="81">
        <v>35.880000000000003</v>
      </c>
      <c r="O30" s="24"/>
      <c r="P30" s="25"/>
      <c r="Q30" s="81"/>
      <c r="R30" s="25"/>
      <c r="S30" s="81"/>
      <c r="T30" s="24"/>
      <c r="U30" s="24"/>
      <c r="V30" s="24"/>
      <c r="W30" s="81"/>
      <c r="X30" s="24"/>
      <c r="Y30" s="24"/>
      <c r="Z30" s="24"/>
      <c r="AA30" s="24"/>
      <c r="AB30" s="24"/>
      <c r="AC30" s="24"/>
      <c r="AD30" s="24"/>
      <c r="AE30" s="24"/>
      <c r="AF30" s="81">
        <v>30.57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10</v>
      </c>
      <c r="AW30" s="29"/>
      <c r="AX30" s="29"/>
      <c r="AY30" s="29"/>
      <c r="AZ30" s="29" t="s">
        <v>174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/>
      <c r="BO30" s="29" t="s">
        <v>174</v>
      </c>
      <c r="BP30" s="29"/>
      <c r="BQ30" s="29"/>
      <c r="BR30" s="29"/>
      <c r="BS30" s="24"/>
      <c r="BT30" s="24"/>
      <c r="BU30" s="29"/>
      <c r="BV30" s="29" t="s">
        <v>174</v>
      </c>
      <c r="BW30" s="68" t="s">
        <v>439</v>
      </c>
      <c r="BX30" t="s">
        <v>76</v>
      </c>
      <c r="BY30" s="32" t="s">
        <v>39</v>
      </c>
    </row>
    <row r="31" spans="1:77" x14ac:dyDescent="0.15">
      <c r="A31" s="33">
        <v>4784</v>
      </c>
      <c r="B31" s="26">
        <v>42291</v>
      </c>
      <c r="C31" s="27" t="s">
        <v>377</v>
      </c>
      <c r="D31" s="68" t="s">
        <v>454</v>
      </c>
      <c r="E31" s="24"/>
      <c r="F31" s="24" t="s">
        <v>403</v>
      </c>
      <c r="G31" s="28">
        <v>42285</v>
      </c>
      <c r="H31" s="29" t="s">
        <v>175</v>
      </c>
      <c r="I31" s="29" t="s">
        <v>174</v>
      </c>
      <c r="J31" s="29"/>
      <c r="K31" s="24" t="s">
        <v>302</v>
      </c>
      <c r="L31" s="24" t="s">
        <v>521</v>
      </c>
      <c r="M31" s="81">
        <v>86.018181818181816</v>
      </c>
      <c r="N31" s="81">
        <v>34.9</v>
      </c>
      <c r="O31" s="24"/>
      <c r="P31" s="25"/>
      <c r="Q31" s="81"/>
      <c r="R31" s="25"/>
      <c r="S31" s="81"/>
      <c r="T31" s="25"/>
      <c r="U31" s="24"/>
      <c r="V31" s="24"/>
      <c r="W31" s="81"/>
      <c r="X31" s="24"/>
      <c r="Y31" s="24"/>
      <c r="Z31" s="24"/>
      <c r="AA31" s="24"/>
      <c r="AB31" s="25"/>
      <c r="AC31" s="24"/>
      <c r="AD31" s="24"/>
      <c r="AE31" s="24"/>
      <c r="AF31" s="81">
        <v>17.86363636363636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15</v>
      </c>
      <c r="AW31" s="29"/>
      <c r="AX31" s="29"/>
      <c r="AY31" s="29"/>
      <c r="AZ31" s="29" t="s">
        <v>361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/>
      <c r="BO31" s="29" t="s">
        <v>174</v>
      </c>
      <c r="BP31" s="29"/>
      <c r="BQ31" s="29"/>
      <c r="BR31" s="29"/>
      <c r="BS31" s="30"/>
      <c r="BT31" s="30"/>
      <c r="BU31" s="29"/>
      <c r="BV31" s="29" t="s">
        <v>174</v>
      </c>
      <c r="BW31" s="24"/>
      <c r="BX31" t="s">
        <v>76</v>
      </c>
      <c r="BY31" s="67" t="s">
        <v>39</v>
      </c>
    </row>
    <row r="32" spans="1:77" x14ac:dyDescent="0.15">
      <c r="A32" s="33">
        <v>4252</v>
      </c>
      <c r="B32" s="26">
        <v>42291</v>
      </c>
      <c r="C32" s="27" t="s">
        <v>377</v>
      </c>
      <c r="D32" s="68" t="s">
        <v>454</v>
      </c>
      <c r="E32" s="24"/>
      <c r="F32" s="24" t="s">
        <v>417</v>
      </c>
      <c r="G32" s="28">
        <v>42291</v>
      </c>
      <c r="H32" s="29" t="s">
        <v>175</v>
      </c>
      <c r="I32" s="29" t="s">
        <v>174</v>
      </c>
      <c r="J32" s="29"/>
      <c r="K32" s="24" t="s">
        <v>296</v>
      </c>
      <c r="L32" s="24" t="s">
        <v>510</v>
      </c>
      <c r="M32" s="81">
        <v>78.318181818181813</v>
      </c>
      <c r="N32" s="81">
        <v>37.75454545454545</v>
      </c>
      <c r="O32" s="24"/>
      <c r="P32" s="25"/>
      <c r="Q32" s="81"/>
      <c r="R32" s="25"/>
      <c r="S32" s="81"/>
      <c r="T32" s="25"/>
      <c r="U32" s="24"/>
      <c r="V32" s="24"/>
      <c r="W32" s="81">
        <v>24.554545454545455</v>
      </c>
      <c r="X32" s="25"/>
      <c r="Y32" s="24"/>
      <c r="Z32" s="25"/>
      <c r="AA32" s="24"/>
      <c r="AB32" s="25"/>
      <c r="AC32" s="24"/>
      <c r="AD32" s="24"/>
      <c r="AE32" s="24"/>
      <c r="AF32" s="81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 t="s">
        <v>418</v>
      </c>
      <c r="AR32" s="29" t="s">
        <v>174</v>
      </c>
      <c r="AS32" s="29"/>
      <c r="AT32" s="29"/>
      <c r="AU32" s="29" t="s">
        <v>382</v>
      </c>
      <c r="AV32" s="29">
        <v>14.2</v>
      </c>
      <c r="AW32" s="29"/>
      <c r="AX32" s="29"/>
      <c r="AY32" s="29"/>
      <c r="AZ32" s="29" t="s">
        <v>361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>
        <v>24</v>
      </c>
      <c r="BO32" s="29" t="s">
        <v>174</v>
      </c>
      <c r="BP32" s="29"/>
      <c r="BQ32" s="29">
        <v>24</v>
      </c>
      <c r="BR32" s="29"/>
      <c r="BS32" s="30"/>
      <c r="BT32" s="30"/>
      <c r="BU32" s="29"/>
      <c r="BV32" s="29" t="s">
        <v>174</v>
      </c>
      <c r="BW32" s="24"/>
      <c r="BX32" s="66" t="s">
        <v>76</v>
      </c>
      <c r="BY32" s="67" t="s">
        <v>39</v>
      </c>
    </row>
    <row r="33" spans="1:77" x14ac:dyDescent="0.15">
      <c r="A33" s="33">
        <v>5551</v>
      </c>
      <c r="B33" s="26">
        <v>42291</v>
      </c>
      <c r="C33" s="27" t="s">
        <v>377</v>
      </c>
      <c r="D33" s="68" t="s">
        <v>454</v>
      </c>
      <c r="E33" s="24"/>
      <c r="F33" s="24" t="s">
        <v>534</v>
      </c>
      <c r="G33" s="31">
        <v>42262</v>
      </c>
      <c r="H33" s="29" t="s">
        <v>175</v>
      </c>
      <c r="I33" s="29" t="s">
        <v>174</v>
      </c>
      <c r="J33" s="29"/>
      <c r="K33" s="24" t="s">
        <v>297</v>
      </c>
      <c r="L33" s="24" t="s">
        <v>511</v>
      </c>
      <c r="M33" s="81">
        <v>90.5</v>
      </c>
      <c r="N33" s="81">
        <v>38.572727272727271</v>
      </c>
      <c r="O33" s="24"/>
      <c r="P33" s="25"/>
      <c r="Q33" s="81"/>
      <c r="R33" s="25"/>
      <c r="S33" s="81"/>
      <c r="T33" s="25"/>
      <c r="U33" s="24"/>
      <c r="V33" s="24"/>
      <c r="W33" s="81">
        <v>23.027272727272724</v>
      </c>
      <c r="X33" s="24"/>
      <c r="Y33" s="24"/>
      <c r="Z33" s="24"/>
      <c r="AA33" s="24"/>
      <c r="AB33" s="24"/>
      <c r="AC33" s="24"/>
      <c r="AD33" s="24"/>
      <c r="AE33" s="24"/>
      <c r="AF33" s="81"/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 t="s">
        <v>418</v>
      </c>
      <c r="AR33" s="29" t="s">
        <v>174</v>
      </c>
      <c r="AS33" s="29"/>
      <c r="AT33" s="29"/>
      <c r="AU33" s="29" t="s">
        <v>382</v>
      </c>
      <c r="AV33" s="29">
        <v>9.5</v>
      </c>
      <c r="AW33" s="29"/>
      <c r="AX33" s="29"/>
      <c r="AY33" s="29"/>
      <c r="AZ33" s="29" t="s">
        <v>174</v>
      </c>
      <c r="BA33" s="24"/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9"/>
      <c r="BS33" s="24"/>
      <c r="BT33" s="24"/>
      <c r="BU33" s="29"/>
      <c r="BV33" s="29" t="s">
        <v>174</v>
      </c>
      <c r="BW33" s="68" t="s">
        <v>439</v>
      </c>
      <c r="BX33" s="66" t="s">
        <v>76</v>
      </c>
      <c r="BY33" s="67" t="s">
        <v>39</v>
      </c>
    </row>
    <row r="34" spans="1:77" x14ac:dyDescent="0.15">
      <c r="A34" s="33">
        <v>5589</v>
      </c>
      <c r="B34" s="26">
        <v>42291</v>
      </c>
      <c r="C34" s="27" t="s">
        <v>377</v>
      </c>
      <c r="D34" s="68" t="s">
        <v>454</v>
      </c>
      <c r="E34" s="24"/>
      <c r="F34" s="24" t="s">
        <v>417</v>
      </c>
      <c r="G34" s="28">
        <v>42185</v>
      </c>
      <c r="H34" s="29" t="s">
        <v>175</v>
      </c>
      <c r="I34" s="29" t="s">
        <v>174</v>
      </c>
      <c r="J34" s="29"/>
      <c r="K34" s="24" t="s">
        <v>298</v>
      </c>
      <c r="L34" s="68" t="s">
        <v>512</v>
      </c>
      <c r="M34" s="81">
        <v>70.86363636363636</v>
      </c>
      <c r="N34" s="81">
        <v>36.11818181818181</v>
      </c>
      <c r="O34" s="24"/>
      <c r="P34" s="24"/>
      <c r="Q34" s="81"/>
      <c r="R34" s="24"/>
      <c r="S34" s="81"/>
      <c r="T34" s="24"/>
      <c r="U34" s="24"/>
      <c r="V34" s="24"/>
      <c r="W34" s="81">
        <v>31.299999999999997</v>
      </c>
      <c r="X34" s="24"/>
      <c r="Y34" s="24"/>
      <c r="Z34" s="24"/>
      <c r="AA34" s="24"/>
      <c r="AB34" s="24"/>
      <c r="AC34" s="24"/>
      <c r="AD34" s="24"/>
      <c r="AE34" s="24"/>
      <c r="AF34" s="81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 t="s">
        <v>418</v>
      </c>
      <c r="AR34" s="29" t="s">
        <v>174</v>
      </c>
      <c r="AS34" s="29"/>
      <c r="AT34" s="29"/>
      <c r="AU34" s="29" t="s">
        <v>382</v>
      </c>
      <c r="AV34" s="29">
        <v>14</v>
      </c>
      <c r="AW34" s="29"/>
      <c r="AX34" s="29"/>
      <c r="AY34" s="29"/>
      <c r="AZ34" s="29" t="s">
        <v>174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29"/>
      <c r="BQ34" s="29"/>
      <c r="BR34" s="29"/>
      <c r="BS34" s="30" t="s">
        <v>513</v>
      </c>
      <c r="BT34" s="30" t="s">
        <v>514</v>
      </c>
      <c r="BU34" s="29">
        <v>50</v>
      </c>
      <c r="BV34" s="29" t="s">
        <v>174</v>
      </c>
      <c r="BW34" s="24" t="s">
        <v>449</v>
      </c>
      <c r="BX34" s="66" t="s">
        <v>535</v>
      </c>
      <c r="BY34" s="32" t="s">
        <v>77</v>
      </c>
    </row>
    <row r="35" spans="1:77" x14ac:dyDescent="0.15">
      <c r="A35" s="33">
        <v>243</v>
      </c>
      <c r="B35" s="26">
        <v>42291</v>
      </c>
      <c r="C35" s="27" t="s">
        <v>377</v>
      </c>
      <c r="D35" s="68" t="s">
        <v>454</v>
      </c>
      <c r="E35" s="24"/>
      <c r="F35" s="24" t="s">
        <v>417</v>
      </c>
      <c r="G35" s="28">
        <v>42249</v>
      </c>
      <c r="H35" s="29" t="s">
        <v>175</v>
      </c>
      <c r="I35" s="29" t="s">
        <v>174</v>
      </c>
      <c r="J35" s="29"/>
      <c r="K35" s="24" t="s">
        <v>299</v>
      </c>
      <c r="L35" s="24" t="s">
        <v>446</v>
      </c>
      <c r="M35" s="81">
        <v>95.663636363636357</v>
      </c>
      <c r="N35" s="81">
        <v>37.763636363636358</v>
      </c>
      <c r="O35" s="24"/>
      <c r="P35" s="25"/>
      <c r="Q35" s="81"/>
      <c r="R35" s="25"/>
      <c r="S35" s="81"/>
      <c r="T35" s="24"/>
      <c r="U35" s="24"/>
      <c r="V35" s="24"/>
      <c r="W35" s="81">
        <v>26.799999999999997</v>
      </c>
      <c r="X35" s="24"/>
      <c r="Y35" s="24"/>
      <c r="Z35" s="24"/>
      <c r="AA35" s="24"/>
      <c r="AB35" s="24"/>
      <c r="AC35" s="24"/>
      <c r="AD35" s="24"/>
      <c r="AE35" s="24"/>
      <c r="AF35" s="81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 t="s">
        <v>418</v>
      </c>
      <c r="AR35" s="29" t="s">
        <v>174</v>
      </c>
      <c r="AS35" s="29"/>
      <c r="AT35" s="29"/>
      <c r="AU35" s="29" t="s">
        <v>382</v>
      </c>
      <c r="AV35" s="29">
        <v>11.6</v>
      </c>
      <c r="AW35" s="29"/>
      <c r="AX35" s="29"/>
      <c r="AY35" s="29"/>
      <c r="AZ35" s="29" t="s">
        <v>174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/>
      <c r="BO35" s="29" t="s">
        <v>174</v>
      </c>
      <c r="BP35" s="29"/>
      <c r="BQ35" s="29"/>
      <c r="BR35" s="29"/>
      <c r="BS35" s="30"/>
      <c r="BT35" s="24"/>
      <c r="BU35" s="29"/>
      <c r="BV35" s="29" t="s">
        <v>174</v>
      </c>
      <c r="BW35" s="24"/>
      <c r="BX35" t="s">
        <v>536</v>
      </c>
      <c r="BY35" s="32" t="s">
        <v>77</v>
      </c>
    </row>
    <row r="36" spans="1:77" x14ac:dyDescent="0.15">
      <c r="A36" s="33">
        <v>5771</v>
      </c>
      <c r="B36" s="26">
        <v>42291</v>
      </c>
      <c r="C36" s="27" t="s">
        <v>377</v>
      </c>
      <c r="D36" s="68" t="s">
        <v>454</v>
      </c>
      <c r="E36" s="24"/>
      <c r="F36" s="24" t="s">
        <v>417</v>
      </c>
      <c r="G36" s="28">
        <v>42247</v>
      </c>
      <c r="H36" s="29" t="s">
        <v>175</v>
      </c>
      <c r="I36" s="29" t="s">
        <v>174</v>
      </c>
      <c r="J36" s="29"/>
      <c r="K36" s="24" t="s">
        <v>300</v>
      </c>
      <c r="L36" s="24" t="s">
        <v>517</v>
      </c>
      <c r="M36" s="81">
        <v>90.454545454545453</v>
      </c>
      <c r="N36" s="81">
        <v>38.090909090909086</v>
      </c>
      <c r="O36" s="24" t="s">
        <v>518</v>
      </c>
      <c r="P36" s="25">
        <v>1000</v>
      </c>
      <c r="Q36" s="81">
        <v>38.727272727272727</v>
      </c>
      <c r="R36" s="25">
        <v>1500</v>
      </c>
      <c r="S36" s="81">
        <v>40.818181818181813</v>
      </c>
      <c r="T36" s="25"/>
      <c r="U36" s="24"/>
      <c r="V36" s="24"/>
      <c r="W36" s="81">
        <v>25.409090909090907</v>
      </c>
      <c r="X36" s="24"/>
      <c r="Y36" s="24"/>
      <c r="Z36" s="24"/>
      <c r="AA36" s="24"/>
      <c r="AB36" s="24"/>
      <c r="AC36" s="24"/>
      <c r="AD36" s="24"/>
      <c r="AE36" s="24"/>
      <c r="AF36" s="81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 t="s">
        <v>418</v>
      </c>
      <c r="AR36" s="29" t="s">
        <v>174</v>
      </c>
      <c r="AS36" s="29"/>
      <c r="AT36" s="29"/>
      <c r="AU36" s="29" t="s">
        <v>382</v>
      </c>
      <c r="AV36" s="29">
        <v>12</v>
      </c>
      <c r="AW36" s="29"/>
      <c r="AX36" s="29"/>
      <c r="AY36" s="29"/>
      <c r="AZ36" s="29" t="s">
        <v>361</v>
      </c>
      <c r="BA36" s="24"/>
      <c r="BB36" s="29">
        <v>0</v>
      </c>
      <c r="BC36" s="29">
        <v>0</v>
      </c>
      <c r="BD36" s="29">
        <v>7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174</v>
      </c>
      <c r="BN36" s="29"/>
      <c r="BO36" s="29" t="s">
        <v>174</v>
      </c>
      <c r="BP36" s="29"/>
      <c r="BQ36" s="29"/>
      <c r="BR36" s="29"/>
      <c r="BS36" s="24"/>
      <c r="BT36" s="24"/>
      <c r="BU36" s="29"/>
      <c r="BV36" s="29" t="s">
        <v>174</v>
      </c>
      <c r="BW36" s="24"/>
      <c r="BX36" t="s">
        <v>519</v>
      </c>
      <c r="BY36" s="32" t="s">
        <v>77</v>
      </c>
    </row>
    <row r="37" spans="1:77" x14ac:dyDescent="0.15">
      <c r="A37" s="33">
        <v>5269</v>
      </c>
      <c r="B37" s="26">
        <v>42291</v>
      </c>
      <c r="C37" s="27" t="s">
        <v>377</v>
      </c>
      <c r="D37" s="68" t="s">
        <v>454</v>
      </c>
      <c r="E37" s="24"/>
      <c r="F37" s="24" t="s">
        <v>417</v>
      </c>
      <c r="G37" s="28">
        <v>42214</v>
      </c>
      <c r="H37" s="29" t="s">
        <v>175</v>
      </c>
      <c r="I37" s="29" t="s">
        <v>174</v>
      </c>
      <c r="J37" s="29"/>
      <c r="K37" s="24" t="s">
        <v>301</v>
      </c>
      <c r="L37" s="24" t="s">
        <v>520</v>
      </c>
      <c r="M37" s="81">
        <v>92.3</v>
      </c>
      <c r="N37" s="81">
        <v>53.99</v>
      </c>
      <c r="O37" s="24"/>
      <c r="P37" s="25"/>
      <c r="Q37" s="81"/>
      <c r="R37" s="25"/>
      <c r="S37" s="81"/>
      <c r="T37" s="25"/>
      <c r="U37" s="24"/>
      <c r="V37" s="24"/>
      <c r="W37" s="81">
        <v>26.063636363636363</v>
      </c>
      <c r="X37" s="25"/>
      <c r="Y37" s="24"/>
      <c r="Z37" s="25"/>
      <c r="AA37" s="24"/>
      <c r="AB37" s="25"/>
      <c r="AC37" s="24"/>
      <c r="AD37" s="24"/>
      <c r="AE37" s="24"/>
      <c r="AF37" s="81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 t="s">
        <v>418</v>
      </c>
      <c r="AR37" s="29" t="s">
        <v>174</v>
      </c>
      <c r="AS37" s="29"/>
      <c r="AT37" s="29"/>
      <c r="AU37" s="29" t="s">
        <v>382</v>
      </c>
      <c r="AV37" s="29">
        <v>15</v>
      </c>
      <c r="AW37" s="29"/>
      <c r="AX37" s="29"/>
      <c r="AY37" s="29"/>
      <c r="AZ37" s="29" t="s">
        <v>361</v>
      </c>
      <c r="BA37" s="24"/>
      <c r="BB37" s="29">
        <v>5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174</v>
      </c>
      <c r="BN37" s="29">
        <v>12</v>
      </c>
      <c r="BO37" s="29" t="s">
        <v>174</v>
      </c>
      <c r="BP37" s="29"/>
      <c r="BQ37" s="29"/>
      <c r="BR37" s="29"/>
      <c r="BS37" s="24"/>
      <c r="BT37" s="24"/>
      <c r="BU37" s="29"/>
      <c r="BV37" s="29" t="s">
        <v>174</v>
      </c>
      <c r="BW37" s="24"/>
      <c r="BX37" s="66" t="s">
        <v>76</v>
      </c>
      <c r="BY37" s="67" t="s">
        <v>77</v>
      </c>
    </row>
    <row r="38" spans="1:77" x14ac:dyDescent="0.15">
      <c r="A38" s="33">
        <v>4785</v>
      </c>
      <c r="B38" s="26">
        <v>42291</v>
      </c>
      <c r="C38" s="27" t="s">
        <v>377</v>
      </c>
      <c r="D38" s="68" t="s">
        <v>454</v>
      </c>
      <c r="E38" s="24"/>
      <c r="F38" s="24" t="s">
        <v>417</v>
      </c>
      <c r="G38" s="28">
        <v>42285</v>
      </c>
      <c r="H38" s="29" t="s">
        <v>175</v>
      </c>
      <c r="I38" s="29" t="s">
        <v>174</v>
      </c>
      <c r="J38" s="29"/>
      <c r="K38" s="24" t="s">
        <v>302</v>
      </c>
      <c r="L38" s="24" t="s">
        <v>521</v>
      </c>
      <c r="M38" s="81">
        <v>81.127272727272711</v>
      </c>
      <c r="N38" s="81">
        <v>35.163636363636364</v>
      </c>
      <c r="O38" s="24"/>
      <c r="P38" s="25"/>
      <c r="Q38" s="81"/>
      <c r="R38" s="25"/>
      <c r="S38" s="81"/>
      <c r="T38" s="25"/>
      <c r="U38" s="24"/>
      <c r="V38" s="24"/>
      <c r="W38" s="81">
        <v>29.054545454545455</v>
      </c>
      <c r="X38" s="24"/>
      <c r="Y38" s="24"/>
      <c r="Z38" s="24"/>
      <c r="AA38" s="24"/>
      <c r="AB38" s="24"/>
      <c r="AC38" s="24"/>
      <c r="AD38" s="24"/>
      <c r="AE38" s="24"/>
      <c r="AF38" s="81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 t="s">
        <v>418</v>
      </c>
      <c r="AR38" s="29" t="s">
        <v>174</v>
      </c>
      <c r="AS38" s="29"/>
      <c r="AT38" s="29"/>
      <c r="AU38" s="29" t="s">
        <v>382</v>
      </c>
      <c r="AV38" s="29">
        <v>15</v>
      </c>
      <c r="AW38" s="29"/>
      <c r="AX38" s="29"/>
      <c r="AY38" s="29"/>
      <c r="AZ38" s="29" t="s">
        <v>361</v>
      </c>
      <c r="BA38" s="24"/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29" t="s">
        <v>174</v>
      </c>
      <c r="BN38" s="29"/>
      <c r="BO38" s="29" t="s">
        <v>174</v>
      </c>
      <c r="BP38" s="29"/>
      <c r="BQ38" s="29"/>
      <c r="BR38" s="29"/>
      <c r="BS38" s="24"/>
      <c r="BT38" s="24"/>
      <c r="BU38" s="29"/>
      <c r="BV38" s="29" t="s">
        <v>174</v>
      </c>
      <c r="BW38" s="24"/>
      <c r="BX38" t="s">
        <v>76</v>
      </c>
      <c r="BY38" s="32" t="s">
        <v>39</v>
      </c>
    </row>
    <row r="39" spans="1:77" x14ac:dyDescent="0.15">
      <c r="A39" s="33">
        <v>932</v>
      </c>
      <c r="B39" s="26">
        <v>42291</v>
      </c>
      <c r="C39" s="27" t="s">
        <v>377</v>
      </c>
      <c r="D39" s="68" t="s">
        <v>454</v>
      </c>
      <c r="E39" s="24"/>
      <c r="F39" s="24" t="s">
        <v>417</v>
      </c>
      <c r="G39" s="26">
        <v>42200</v>
      </c>
      <c r="H39" s="29" t="s">
        <v>175</v>
      </c>
      <c r="I39" s="29" t="s">
        <v>174</v>
      </c>
      <c r="J39" s="29"/>
      <c r="K39" s="24" t="s">
        <v>303</v>
      </c>
      <c r="L39" s="24" t="s">
        <v>522</v>
      </c>
      <c r="M39" s="81">
        <v>128.70909090909092</v>
      </c>
      <c r="N39" s="81">
        <v>30.481818181818181</v>
      </c>
      <c r="O39" s="24"/>
      <c r="P39" s="25"/>
      <c r="Q39" s="81"/>
      <c r="R39" s="25"/>
      <c r="S39" s="81"/>
      <c r="T39" s="24"/>
      <c r="U39" s="24"/>
      <c r="V39" s="24"/>
      <c r="W39" s="81">
        <v>21.209090909090907</v>
      </c>
      <c r="X39" s="24"/>
      <c r="Y39" s="24"/>
      <c r="Z39" s="24"/>
      <c r="AA39" s="24"/>
      <c r="AB39" s="24"/>
      <c r="AC39" s="24"/>
      <c r="AD39" s="24"/>
      <c r="AE39" s="24"/>
      <c r="AF39" s="81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 t="s">
        <v>418</v>
      </c>
      <c r="AR39" s="29" t="s">
        <v>174</v>
      </c>
      <c r="AS39" s="29"/>
      <c r="AT39" s="29"/>
      <c r="AU39" s="29"/>
      <c r="AV39" s="29"/>
      <c r="AW39" s="29"/>
      <c r="AX39" s="29"/>
      <c r="AY39" s="29"/>
      <c r="AZ39" s="29" t="s">
        <v>174</v>
      </c>
      <c r="BA39" s="24"/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29" t="s">
        <v>174</v>
      </c>
      <c r="BN39" s="29"/>
      <c r="BO39" s="29" t="s">
        <v>174</v>
      </c>
      <c r="BP39" s="29"/>
      <c r="BQ39" s="29"/>
      <c r="BR39" s="29"/>
      <c r="BS39" s="24"/>
      <c r="BT39" s="24"/>
      <c r="BU39" s="29"/>
      <c r="BV39" s="29" t="s">
        <v>174</v>
      </c>
      <c r="BW39" s="24"/>
      <c r="BX39" s="66" t="s">
        <v>76</v>
      </c>
      <c r="BY39" s="67" t="s">
        <v>77</v>
      </c>
    </row>
    <row r="40" spans="1:77" x14ac:dyDescent="0.15">
      <c r="A40" s="33">
        <v>5409</v>
      </c>
      <c r="B40" s="26">
        <v>42292</v>
      </c>
      <c r="C40" s="27" t="s">
        <v>377</v>
      </c>
      <c r="D40" s="68" t="s">
        <v>454</v>
      </c>
      <c r="E40" s="24"/>
      <c r="F40" s="24" t="s">
        <v>417</v>
      </c>
      <c r="G40" s="28">
        <v>42186</v>
      </c>
      <c r="H40" s="29" t="s">
        <v>175</v>
      </c>
      <c r="I40" s="29" t="s">
        <v>174</v>
      </c>
      <c r="J40" s="29"/>
      <c r="K40" s="24" t="s">
        <v>304</v>
      </c>
      <c r="L40" s="24" t="s">
        <v>523</v>
      </c>
      <c r="M40" s="81">
        <v>89.772727272727266</v>
      </c>
      <c r="N40" s="81">
        <v>42.1</v>
      </c>
      <c r="O40" s="24"/>
      <c r="P40" s="25"/>
      <c r="Q40" s="81"/>
      <c r="R40" s="25"/>
      <c r="S40" s="81"/>
      <c r="T40" s="25"/>
      <c r="U40" s="24"/>
      <c r="V40" s="24"/>
      <c r="W40" s="81">
        <v>27.336363636363636</v>
      </c>
      <c r="X40" s="24"/>
      <c r="Y40" s="24"/>
      <c r="Z40" s="25"/>
      <c r="AA40" s="24"/>
      <c r="AB40" s="25"/>
      <c r="AC40" s="24"/>
      <c r="AD40" s="24"/>
      <c r="AE40" s="24"/>
      <c r="AF40" s="81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 t="s">
        <v>418</v>
      </c>
      <c r="AR40" s="29" t="s">
        <v>174</v>
      </c>
      <c r="AS40" s="29"/>
      <c r="AT40" s="29"/>
      <c r="AU40" s="29" t="s">
        <v>382</v>
      </c>
      <c r="AV40" s="29">
        <v>10</v>
      </c>
      <c r="AW40" s="29"/>
      <c r="AX40" s="29"/>
      <c r="AY40" s="29"/>
      <c r="AZ40" s="29" t="s">
        <v>361</v>
      </c>
      <c r="BA40" s="24"/>
      <c r="BB40" s="29">
        <v>14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>
        <v>12</v>
      </c>
      <c r="BM40" s="29" t="s">
        <v>175</v>
      </c>
      <c r="BN40" s="29">
        <v>12</v>
      </c>
      <c r="BO40" s="29" t="s">
        <v>174</v>
      </c>
      <c r="BP40" s="29"/>
      <c r="BQ40" s="29"/>
      <c r="BR40" s="29"/>
      <c r="BS40" s="30"/>
      <c r="BT40" s="30"/>
      <c r="BU40" s="29"/>
      <c r="BV40" s="29" t="s">
        <v>174</v>
      </c>
      <c r="BW40" s="30"/>
      <c r="BX40" s="66" t="s">
        <v>76</v>
      </c>
      <c r="BY40" s="32" t="s">
        <v>77</v>
      </c>
    </row>
    <row r="41" spans="1:77" x14ac:dyDescent="0.15">
      <c r="A41" s="33">
        <v>5321</v>
      </c>
      <c r="B41" s="26">
        <v>42292</v>
      </c>
      <c r="C41" s="27" t="s">
        <v>377</v>
      </c>
      <c r="D41" s="68" t="s">
        <v>454</v>
      </c>
      <c r="E41" s="24"/>
      <c r="F41" s="24" t="s">
        <v>417</v>
      </c>
      <c r="G41" s="28">
        <v>42279</v>
      </c>
      <c r="H41" s="29" t="s">
        <v>175</v>
      </c>
      <c r="I41" s="29" t="s">
        <v>174</v>
      </c>
      <c r="J41" s="29"/>
      <c r="K41" s="24" t="s">
        <v>305</v>
      </c>
      <c r="L41" s="24" t="s">
        <v>524</v>
      </c>
      <c r="M41" s="81">
        <v>89</v>
      </c>
      <c r="N41" s="81">
        <v>42.9</v>
      </c>
      <c r="O41" s="24"/>
      <c r="P41" s="25"/>
      <c r="Q41" s="81"/>
      <c r="R41" s="25"/>
      <c r="S41" s="81"/>
      <c r="T41" s="25"/>
      <c r="U41" s="24"/>
      <c r="V41" s="24"/>
      <c r="W41" s="81">
        <v>27.9</v>
      </c>
      <c r="X41" s="24"/>
      <c r="Y41" s="24"/>
      <c r="Z41" s="25"/>
      <c r="AA41" s="24"/>
      <c r="AB41" s="25"/>
      <c r="AC41" s="24"/>
      <c r="AD41" s="24"/>
      <c r="AE41" s="24"/>
      <c r="AF41" s="81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 t="s">
        <v>418</v>
      </c>
      <c r="AR41" s="29" t="s">
        <v>174</v>
      </c>
      <c r="AS41" s="29"/>
      <c r="AT41" s="29"/>
      <c r="AU41" s="29" t="s">
        <v>382</v>
      </c>
      <c r="AV41" s="29">
        <v>14.2</v>
      </c>
      <c r="AW41" s="29"/>
      <c r="AX41" s="29"/>
      <c r="AY41" s="29"/>
      <c r="AZ41" s="29" t="s">
        <v>361</v>
      </c>
      <c r="BA41" s="24"/>
      <c r="BB41" s="29">
        <v>15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>
        <v>24</v>
      </c>
      <c r="BO41" s="29" t="s">
        <v>174</v>
      </c>
      <c r="BP41" s="29"/>
      <c r="BQ41" s="29"/>
      <c r="BR41" s="29"/>
      <c r="BS41" s="30"/>
      <c r="BT41" s="30"/>
      <c r="BU41" s="29"/>
      <c r="BV41" s="29" t="s">
        <v>174</v>
      </c>
      <c r="BW41" s="24"/>
      <c r="BX41" t="s">
        <v>76</v>
      </c>
      <c r="BY41" s="32" t="s">
        <v>39</v>
      </c>
    </row>
    <row r="42" spans="1:77" x14ac:dyDescent="0.15">
      <c r="A42" s="33">
        <v>5943</v>
      </c>
      <c r="B42" s="26">
        <v>42293</v>
      </c>
      <c r="C42" s="27" t="s">
        <v>377</v>
      </c>
      <c r="D42" s="68" t="s">
        <v>454</v>
      </c>
      <c r="E42" s="24"/>
      <c r="F42" s="24" t="s">
        <v>417</v>
      </c>
      <c r="G42" s="28">
        <v>42285</v>
      </c>
      <c r="H42" s="29" t="s">
        <v>175</v>
      </c>
      <c r="I42" s="29" t="s">
        <v>174</v>
      </c>
      <c r="J42" s="29"/>
      <c r="K42" s="24" t="s">
        <v>306</v>
      </c>
      <c r="L42" s="24" t="s">
        <v>525</v>
      </c>
      <c r="M42" s="81">
        <v>87.1</v>
      </c>
      <c r="N42" s="81">
        <v>35.299999999999997</v>
      </c>
      <c r="O42" s="24"/>
      <c r="P42" s="25"/>
      <c r="Q42" s="81"/>
      <c r="R42" s="25"/>
      <c r="S42" s="81"/>
      <c r="T42" s="24"/>
      <c r="U42" s="24"/>
      <c r="V42" s="24"/>
      <c r="W42" s="81">
        <v>29.799999999999997</v>
      </c>
      <c r="X42" s="24"/>
      <c r="Y42" s="24"/>
      <c r="Z42" s="24"/>
      <c r="AA42" s="24"/>
      <c r="AB42" s="24"/>
      <c r="AC42" s="24"/>
      <c r="AD42" s="24"/>
      <c r="AE42" s="24"/>
      <c r="AF42" s="81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14.2</v>
      </c>
      <c r="AW42" s="29"/>
      <c r="AX42" s="29"/>
      <c r="AY42" s="29"/>
      <c r="AZ42" s="29" t="s">
        <v>361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/>
      <c r="BO42" s="29" t="s">
        <v>174</v>
      </c>
      <c r="BP42" s="29"/>
      <c r="BQ42" s="29"/>
      <c r="BR42" s="29"/>
      <c r="BS42" s="24"/>
      <c r="BT42" s="24"/>
      <c r="BU42" s="29"/>
      <c r="BV42" s="29" t="s">
        <v>174</v>
      </c>
      <c r="BW42" s="24"/>
      <c r="BX42" t="s">
        <v>76</v>
      </c>
      <c r="BY42" s="67" t="s">
        <v>452</v>
      </c>
    </row>
    <row r="43" spans="1:77" x14ac:dyDescent="0.15">
      <c r="A43" s="33">
        <v>2138</v>
      </c>
      <c r="B43" s="26">
        <v>42293</v>
      </c>
      <c r="C43" s="27" t="s">
        <v>377</v>
      </c>
      <c r="D43" s="68" t="s">
        <v>454</v>
      </c>
      <c r="E43" s="24"/>
      <c r="F43" s="24" t="s">
        <v>417</v>
      </c>
      <c r="G43" s="31">
        <v>42293</v>
      </c>
      <c r="H43" s="29" t="s">
        <v>175</v>
      </c>
      <c r="I43" s="29" t="s">
        <v>174</v>
      </c>
      <c r="J43" s="29"/>
      <c r="K43" s="24" t="s">
        <v>307</v>
      </c>
      <c r="L43" s="24" t="s">
        <v>526</v>
      </c>
      <c r="M43" s="81">
        <v>86.38</v>
      </c>
      <c r="N43" s="81">
        <v>41.818181818181813</v>
      </c>
      <c r="O43" s="24"/>
      <c r="P43" s="25"/>
      <c r="Q43" s="81"/>
      <c r="R43" s="25"/>
      <c r="S43" s="81"/>
      <c r="T43" s="25"/>
      <c r="U43" s="24"/>
      <c r="V43" s="24"/>
      <c r="W43" s="81">
        <v>24.490909090909089</v>
      </c>
      <c r="X43" s="24"/>
      <c r="Y43" s="24"/>
      <c r="Z43" s="24"/>
      <c r="AA43" s="24"/>
      <c r="AB43" s="24"/>
      <c r="AC43" s="24"/>
      <c r="AD43" s="24"/>
      <c r="AE43" s="24"/>
      <c r="AF43" s="81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 t="s">
        <v>418</v>
      </c>
      <c r="AR43" s="29" t="s">
        <v>174</v>
      </c>
      <c r="AS43" s="29"/>
      <c r="AT43" s="29"/>
      <c r="AU43" s="29" t="s">
        <v>382</v>
      </c>
      <c r="AV43" s="29">
        <v>15</v>
      </c>
      <c r="AW43" s="29"/>
      <c r="AX43" s="29"/>
      <c r="AY43" s="29"/>
      <c r="AZ43" s="29" t="s">
        <v>174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74" t="s">
        <v>527</v>
      </c>
      <c r="BN43" s="29"/>
      <c r="BO43" s="29" t="s">
        <v>174</v>
      </c>
      <c r="BP43" s="29"/>
      <c r="BQ43" s="29"/>
      <c r="BR43" s="29"/>
      <c r="BS43" s="30" t="s">
        <v>528</v>
      </c>
      <c r="BT43" s="30" t="s">
        <v>195</v>
      </c>
      <c r="BU43" s="29">
        <v>30</v>
      </c>
      <c r="BV43" s="29" t="s">
        <v>174</v>
      </c>
      <c r="BW43" s="24"/>
      <c r="BX43" t="s">
        <v>76</v>
      </c>
      <c r="BY43" s="67" t="s">
        <v>39</v>
      </c>
    </row>
    <row r="44" spans="1:77" x14ac:dyDescent="0.15">
      <c r="A44" s="33">
        <v>5634</v>
      </c>
      <c r="B44" s="26">
        <v>42292</v>
      </c>
      <c r="C44" s="27" t="s">
        <v>377</v>
      </c>
      <c r="D44" s="68" t="s">
        <v>454</v>
      </c>
      <c r="E44" s="24"/>
      <c r="F44" s="24" t="s">
        <v>417</v>
      </c>
      <c r="G44" s="28">
        <v>42184</v>
      </c>
      <c r="H44" s="29" t="s">
        <v>175</v>
      </c>
      <c r="I44" s="29" t="s">
        <v>174</v>
      </c>
      <c r="J44" s="29"/>
      <c r="K44" s="68" t="s">
        <v>495</v>
      </c>
      <c r="L44" s="68" t="s">
        <v>529</v>
      </c>
      <c r="M44" s="81">
        <v>110.68</v>
      </c>
      <c r="N44" s="81">
        <v>38.020000000000003</v>
      </c>
      <c r="O44" s="24"/>
      <c r="P44" s="25"/>
      <c r="Q44" s="81"/>
      <c r="R44" s="25"/>
      <c r="S44" s="81"/>
      <c r="T44" s="24"/>
      <c r="U44" s="24"/>
      <c r="V44" s="24"/>
      <c r="W44" s="81">
        <v>28.027272727272724</v>
      </c>
      <c r="X44" s="24"/>
      <c r="Y44" s="24"/>
      <c r="Z44" s="24"/>
      <c r="AA44" s="24"/>
      <c r="AB44" s="24"/>
      <c r="AC44" s="24"/>
      <c r="AD44" s="24"/>
      <c r="AE44" s="24"/>
      <c r="AF44" s="81"/>
      <c r="AG44" s="25"/>
      <c r="AH44" s="24"/>
      <c r="AI44" s="24"/>
      <c r="AJ44" s="24"/>
      <c r="AK44" s="24"/>
      <c r="AL44" s="24"/>
      <c r="AM44" s="24"/>
      <c r="AN44" s="24"/>
      <c r="AO44" s="24"/>
      <c r="AP44" s="24"/>
      <c r="AQ44" s="24" t="s">
        <v>418</v>
      </c>
      <c r="AR44" s="29" t="s">
        <v>174</v>
      </c>
      <c r="AS44" s="29"/>
      <c r="AT44" s="29"/>
      <c r="AU44" s="29" t="s">
        <v>382</v>
      </c>
      <c r="AV44" s="29">
        <v>10.199999999999999</v>
      </c>
      <c r="AW44" s="29"/>
      <c r="AX44" s="29"/>
      <c r="AY44" s="29"/>
      <c r="AZ44" s="29" t="s">
        <v>361</v>
      </c>
      <c r="BA44" s="24"/>
      <c r="BB44" s="29">
        <v>0</v>
      </c>
      <c r="BC44" s="29">
        <v>0</v>
      </c>
      <c r="BD44" s="29">
        <v>12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29"/>
      <c r="BQ44" s="29"/>
      <c r="BR44" s="29"/>
      <c r="BS44" s="24"/>
      <c r="BT44" s="24"/>
      <c r="BU44" s="29"/>
      <c r="BV44" s="29" t="s">
        <v>174</v>
      </c>
      <c r="BW44" s="68"/>
      <c r="BX44" t="s">
        <v>530</v>
      </c>
      <c r="BY44" s="32" t="s">
        <v>77</v>
      </c>
    </row>
    <row r="45" spans="1:77" x14ac:dyDescent="0.15">
      <c r="A45" s="33">
        <v>4762</v>
      </c>
      <c r="B45" s="26">
        <v>42291</v>
      </c>
      <c r="C45" s="27" t="s">
        <v>377</v>
      </c>
      <c r="D45" s="68" t="s">
        <v>454</v>
      </c>
      <c r="E45" s="24"/>
      <c r="F45" s="24" t="s">
        <v>417</v>
      </c>
      <c r="G45" s="28">
        <v>42271</v>
      </c>
      <c r="H45" s="29" t="s">
        <v>175</v>
      </c>
      <c r="I45" s="29" t="s">
        <v>174</v>
      </c>
      <c r="J45" s="29"/>
      <c r="K45" s="24" t="s">
        <v>437</v>
      </c>
      <c r="L45" s="24" t="s">
        <v>498</v>
      </c>
      <c r="M45" s="81">
        <v>64.349999999999994</v>
      </c>
      <c r="N45" s="81">
        <v>37.36</v>
      </c>
      <c r="O45" s="24"/>
      <c r="P45" s="25"/>
      <c r="Q45" s="81"/>
      <c r="R45" s="25"/>
      <c r="S45" s="81"/>
      <c r="T45" s="25"/>
      <c r="U45" s="24"/>
      <c r="V45" s="24"/>
      <c r="W45" s="81">
        <v>30.96</v>
      </c>
      <c r="X45" s="25"/>
      <c r="Y45" s="24"/>
      <c r="Z45" s="25"/>
      <c r="AA45" s="24"/>
      <c r="AB45" s="25"/>
      <c r="AC45" s="24"/>
      <c r="AD45" s="24"/>
      <c r="AE45" s="24"/>
      <c r="AF45" s="81"/>
      <c r="AG45" s="25"/>
      <c r="AH45" s="24"/>
      <c r="AI45" s="24"/>
      <c r="AJ45" s="24"/>
      <c r="AK45" s="24"/>
      <c r="AL45" s="24"/>
      <c r="AM45" s="24"/>
      <c r="AN45" s="24"/>
      <c r="AO45" s="24"/>
      <c r="AP45" s="24"/>
      <c r="AQ45" s="24" t="s">
        <v>418</v>
      </c>
      <c r="AR45" s="29" t="s">
        <v>174</v>
      </c>
      <c r="AS45" s="29"/>
      <c r="AT45" s="29"/>
      <c r="AU45" s="29" t="s">
        <v>382</v>
      </c>
      <c r="AV45" s="29">
        <v>10</v>
      </c>
      <c r="AW45" s="29"/>
      <c r="AX45" s="29"/>
      <c r="AY45" s="29"/>
      <c r="AZ45" s="29" t="s">
        <v>174</v>
      </c>
      <c r="BA45" s="24"/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/>
      <c r="BO45" s="29" t="s">
        <v>174</v>
      </c>
      <c r="BP45" s="29"/>
      <c r="BQ45" s="29"/>
      <c r="BR45" s="29"/>
      <c r="BS45" s="30"/>
      <c r="BT45" s="30"/>
      <c r="BU45" s="29"/>
      <c r="BV45" s="29" t="s">
        <v>174</v>
      </c>
      <c r="BW45" s="24" t="s">
        <v>439</v>
      </c>
      <c r="BX45" t="s">
        <v>76</v>
      </c>
      <c r="BY45" s="67" t="s">
        <v>39</v>
      </c>
    </row>
    <row r="46" spans="1:77" x14ac:dyDescent="0.15">
      <c r="A46" s="33">
        <v>4423</v>
      </c>
      <c r="B46" s="26">
        <v>42291</v>
      </c>
      <c r="C46" s="27" t="s">
        <v>377</v>
      </c>
      <c r="D46" s="68" t="s">
        <v>454</v>
      </c>
      <c r="E46" s="24"/>
      <c r="F46" s="24" t="s">
        <v>417</v>
      </c>
      <c r="G46" s="28">
        <v>42189</v>
      </c>
      <c r="H46" s="29" t="s">
        <v>175</v>
      </c>
      <c r="I46" s="29" t="s">
        <v>174</v>
      </c>
      <c r="J46" s="29"/>
      <c r="K46" s="24" t="s">
        <v>419</v>
      </c>
      <c r="L46" s="24" t="s">
        <v>446</v>
      </c>
      <c r="M46" s="81">
        <v>119.11818181818181</v>
      </c>
      <c r="N46" s="81">
        <v>42.227272727272727</v>
      </c>
      <c r="O46" s="24"/>
      <c r="P46" s="25"/>
      <c r="Q46" s="81"/>
      <c r="R46" s="25"/>
      <c r="S46" s="81"/>
      <c r="T46" s="25"/>
      <c r="U46" s="24"/>
      <c r="V46" s="24"/>
      <c r="W46" s="81">
        <v>25.99</v>
      </c>
      <c r="X46" s="24"/>
      <c r="Y46" s="24"/>
      <c r="Z46" s="24"/>
      <c r="AA46" s="24"/>
      <c r="AB46" s="24"/>
      <c r="AC46" s="24"/>
      <c r="AD46" s="24"/>
      <c r="AE46" s="24"/>
      <c r="AF46" s="81"/>
      <c r="AG46" s="25"/>
      <c r="AH46" s="24"/>
      <c r="AI46" s="24"/>
      <c r="AJ46" s="24"/>
      <c r="AK46" s="24"/>
      <c r="AL46" s="24"/>
      <c r="AM46" s="24"/>
      <c r="AN46" s="24"/>
      <c r="AO46" s="24"/>
      <c r="AP46" s="24"/>
      <c r="AQ46" s="24" t="s">
        <v>418</v>
      </c>
      <c r="AR46" s="29" t="s">
        <v>174</v>
      </c>
      <c r="AS46" s="29"/>
      <c r="AT46" s="29"/>
      <c r="AU46" s="29" t="s">
        <v>382</v>
      </c>
      <c r="AV46" s="29">
        <v>6.8</v>
      </c>
      <c r="AW46" s="29"/>
      <c r="AX46" s="29"/>
      <c r="AY46" s="29"/>
      <c r="AZ46" s="29" t="s">
        <v>174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>
        <v>36</v>
      </c>
      <c r="BM46" s="29" t="s">
        <v>174</v>
      </c>
      <c r="BN46" s="29"/>
      <c r="BO46" s="29" t="s">
        <v>174</v>
      </c>
      <c r="BP46" s="29"/>
      <c r="BQ46" s="29"/>
      <c r="BR46" s="29"/>
      <c r="BS46" s="24"/>
      <c r="BT46" s="24"/>
      <c r="BU46" s="29"/>
      <c r="BV46" s="29" t="s">
        <v>174</v>
      </c>
      <c r="BW46" s="24" t="s">
        <v>449</v>
      </c>
      <c r="BX46" s="66" t="s">
        <v>76</v>
      </c>
      <c r="BY46" s="32" t="s">
        <v>77</v>
      </c>
    </row>
    <row r="47" spans="1:77" x14ac:dyDescent="0.15">
      <c r="A47" s="33">
        <v>5290</v>
      </c>
      <c r="B47" s="26">
        <v>42292</v>
      </c>
      <c r="C47" s="27" t="s">
        <v>377</v>
      </c>
      <c r="D47" s="68" t="s">
        <v>454</v>
      </c>
      <c r="E47" s="24"/>
      <c r="F47" s="24" t="s">
        <v>417</v>
      </c>
      <c r="G47" s="31">
        <v>42184</v>
      </c>
      <c r="H47" s="29" t="s">
        <v>174</v>
      </c>
      <c r="I47" s="29" t="s">
        <v>500</v>
      </c>
      <c r="J47" s="29"/>
      <c r="K47" s="24" t="s">
        <v>531</v>
      </c>
      <c r="L47" s="68" t="s">
        <v>502</v>
      </c>
      <c r="M47" s="81">
        <v>95.654545454545442</v>
      </c>
      <c r="N47" s="81">
        <v>30.945454545454542</v>
      </c>
      <c r="O47" s="24"/>
      <c r="P47" s="25"/>
      <c r="Q47" s="81"/>
      <c r="R47" s="25"/>
      <c r="S47" s="81"/>
      <c r="T47" s="25"/>
      <c r="U47" s="24"/>
      <c r="V47" s="24"/>
      <c r="W47" s="81">
        <v>22.654545454545453</v>
      </c>
      <c r="X47" s="25"/>
      <c r="Y47" s="24"/>
      <c r="Z47" s="25"/>
      <c r="AA47" s="24"/>
      <c r="AB47" s="25"/>
      <c r="AC47" s="24"/>
      <c r="AD47" s="24"/>
      <c r="AE47" s="24"/>
      <c r="AF47" s="81"/>
      <c r="AG47" s="25"/>
      <c r="AH47" s="24"/>
      <c r="AI47" s="24"/>
      <c r="AJ47" s="24"/>
      <c r="AK47" s="24"/>
      <c r="AL47" s="24"/>
      <c r="AM47" s="24"/>
      <c r="AN47" s="24"/>
      <c r="AO47" s="24"/>
      <c r="AP47" s="24"/>
      <c r="AQ47" s="24" t="s">
        <v>418</v>
      </c>
      <c r="AR47" s="29" t="s">
        <v>174</v>
      </c>
      <c r="AS47" s="29"/>
      <c r="AT47" s="29"/>
      <c r="AU47" s="74"/>
      <c r="AV47" s="29"/>
      <c r="AW47" s="29"/>
      <c r="AX47" s="29"/>
      <c r="AY47" s="29"/>
      <c r="AZ47" s="29" t="s">
        <v>174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/>
      <c r="BN47" s="29"/>
      <c r="BO47" s="29" t="s">
        <v>174</v>
      </c>
      <c r="BP47" s="96">
        <v>71.818179999999998</v>
      </c>
      <c r="BQ47" s="29"/>
      <c r="BR47" s="29"/>
      <c r="BS47" s="30"/>
      <c r="BT47" s="30"/>
      <c r="BU47" s="29"/>
      <c r="BV47" s="29" t="s">
        <v>174</v>
      </c>
      <c r="BW47" s="24" t="s">
        <v>504</v>
      </c>
      <c r="BX47" t="s">
        <v>76</v>
      </c>
      <c r="BY47" s="32" t="s">
        <v>77</v>
      </c>
    </row>
  </sheetData>
  <sheetProtection algorithmName="SHA-512" hashValue="+EfrVuB6k8J65Dt9Id5Ea3geSTYaYS9P6t76JGzofoHPYT6mscSDJzT6JxeY9HdWvYUfevXeSsx/o1Kk8nCcuw==" saltValue="VBDzPln3kSNmSz7LVhaz3Q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0BB6-F8BF-674C-9C29-EFEB10EF24EE}">
  <sheetPr codeName="Sheet12"/>
  <dimension ref="A1:BZ50"/>
  <sheetViews>
    <sheetView topLeftCell="BF1" zoomScaleNormal="100" zoomScalePageLayoutView="125" workbookViewId="0">
      <selection activeCell="BP2" sqref="BP2"/>
    </sheetView>
  </sheetViews>
  <sheetFormatPr baseColWidth="10" defaultRowHeight="13" x14ac:dyDescent="0.15"/>
  <cols>
    <col min="11" max="11" width="16.1640625" customWidth="1"/>
    <col min="12" max="12" width="19.5" customWidth="1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17"/>
      <c r="AX1" s="17"/>
      <c r="AY1" s="17"/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540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/>
      <c r="BX1" s="2" t="s">
        <v>188</v>
      </c>
    </row>
    <row r="2" spans="1:78" x14ac:dyDescent="0.15">
      <c r="A2" s="33">
        <v>90</v>
      </c>
      <c r="B2" s="26">
        <v>42103</v>
      </c>
      <c r="C2" s="27" t="s">
        <v>453</v>
      </c>
      <c r="D2" s="68" t="s">
        <v>454</v>
      </c>
      <c r="E2" s="24"/>
      <c r="F2" s="24" t="s">
        <v>455</v>
      </c>
      <c r="G2" s="28">
        <v>42063</v>
      </c>
      <c r="H2" s="29" t="s">
        <v>456</v>
      </c>
      <c r="I2" s="29" t="s">
        <v>457</v>
      </c>
      <c r="J2" s="29"/>
      <c r="K2" s="24" t="s">
        <v>458</v>
      </c>
      <c r="L2" s="24" t="s">
        <v>459</v>
      </c>
      <c r="M2" s="24">
        <v>91</v>
      </c>
      <c r="N2" s="24">
        <v>42.9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 t="s">
        <v>460</v>
      </c>
      <c r="AR2" s="29" t="s">
        <v>174</v>
      </c>
      <c r="AS2" s="29"/>
      <c r="AT2" s="29"/>
      <c r="AU2" s="29" t="s">
        <v>461</v>
      </c>
      <c r="AV2" s="29">
        <v>16.3</v>
      </c>
      <c r="AW2" s="29"/>
      <c r="AX2" s="29"/>
      <c r="AY2" s="29"/>
      <c r="AZ2" s="29" t="s">
        <v>462</v>
      </c>
      <c r="BA2" s="24"/>
      <c r="BB2" s="29">
        <v>0</v>
      </c>
      <c r="BC2" s="29">
        <v>18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457</v>
      </c>
      <c r="BN2" s="29">
        <v>24</v>
      </c>
      <c r="BO2" s="29" t="s">
        <v>457</v>
      </c>
      <c r="BP2" s="29"/>
      <c r="BQ2" s="29"/>
      <c r="BR2" s="29"/>
      <c r="BS2" s="30"/>
      <c r="BT2" s="30"/>
      <c r="BU2" s="29"/>
      <c r="BV2" s="29" t="s">
        <v>457</v>
      </c>
      <c r="BW2" s="29"/>
      <c r="BX2" s="24"/>
      <c r="BY2" s="66" t="s">
        <v>76</v>
      </c>
      <c r="BZ2" s="67" t="s">
        <v>77</v>
      </c>
    </row>
    <row r="3" spans="1:78" x14ac:dyDescent="0.15">
      <c r="A3" s="33">
        <v>4515</v>
      </c>
      <c r="B3" s="26">
        <v>42103</v>
      </c>
      <c r="C3" s="27" t="s">
        <v>453</v>
      </c>
      <c r="D3" s="68" t="s">
        <v>454</v>
      </c>
      <c r="E3" s="24"/>
      <c r="F3" s="24" t="s">
        <v>455</v>
      </c>
      <c r="G3" s="31">
        <v>42062</v>
      </c>
      <c r="H3" s="29" t="s">
        <v>175</v>
      </c>
      <c r="I3" s="29" t="s">
        <v>174</v>
      </c>
      <c r="J3" s="29"/>
      <c r="K3" s="24" t="s">
        <v>463</v>
      </c>
      <c r="L3" s="24" t="s">
        <v>464</v>
      </c>
      <c r="M3" s="24">
        <v>90.5</v>
      </c>
      <c r="N3" s="24">
        <v>44.79</v>
      </c>
      <c r="O3" s="24" t="s">
        <v>465</v>
      </c>
      <c r="P3" s="25">
        <v>2500</v>
      </c>
      <c r="Q3" s="24">
        <v>44.79</v>
      </c>
      <c r="R3" s="25"/>
      <c r="S3" s="25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 t="s">
        <v>460</v>
      </c>
      <c r="AR3" s="29" t="s">
        <v>457</v>
      </c>
      <c r="AS3" s="29"/>
      <c r="AT3" s="29"/>
      <c r="AU3" s="29" t="s">
        <v>461</v>
      </c>
      <c r="AV3" s="29">
        <v>9.5</v>
      </c>
      <c r="AW3" s="29"/>
      <c r="AX3" s="29"/>
      <c r="AY3" s="29"/>
      <c r="AZ3" s="29" t="s">
        <v>457</v>
      </c>
      <c r="BA3" s="24"/>
      <c r="BB3" s="29">
        <v>0</v>
      </c>
      <c r="BC3" s="29">
        <v>25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457</v>
      </c>
      <c r="BN3" s="29">
        <v>12</v>
      </c>
      <c r="BO3" s="29" t="s">
        <v>457</v>
      </c>
      <c r="BP3" s="29"/>
      <c r="BQ3" s="29"/>
      <c r="BR3" s="29"/>
      <c r="BS3" s="24"/>
      <c r="BT3" s="24"/>
      <c r="BU3" s="29"/>
      <c r="BV3" s="29" t="s">
        <v>457</v>
      </c>
      <c r="BW3" s="29"/>
      <c r="BX3" s="68" t="s">
        <v>439</v>
      </c>
      <c r="BY3" s="66" t="s">
        <v>76</v>
      </c>
      <c r="BZ3" s="67" t="s">
        <v>77</v>
      </c>
    </row>
    <row r="4" spans="1:78" x14ac:dyDescent="0.15">
      <c r="A4" s="33">
        <v>4408</v>
      </c>
      <c r="B4" s="26">
        <v>42103</v>
      </c>
      <c r="C4" s="27" t="s">
        <v>453</v>
      </c>
      <c r="D4" s="68" t="s">
        <v>454</v>
      </c>
      <c r="E4" s="24"/>
      <c r="F4" s="24" t="s">
        <v>455</v>
      </c>
      <c r="G4" s="28">
        <v>41975</v>
      </c>
      <c r="H4" s="29" t="s">
        <v>175</v>
      </c>
      <c r="I4" s="29" t="s">
        <v>174</v>
      </c>
      <c r="J4" s="29"/>
      <c r="K4" s="24" t="s">
        <v>466</v>
      </c>
      <c r="L4" s="68" t="s">
        <v>467</v>
      </c>
      <c r="M4" s="24">
        <v>82.5</v>
      </c>
      <c r="N4" s="24">
        <v>46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 t="s">
        <v>460</v>
      </c>
      <c r="AR4" s="29" t="s">
        <v>457</v>
      </c>
      <c r="AS4" s="29"/>
      <c r="AT4" s="29"/>
      <c r="AU4" s="29" t="s">
        <v>382</v>
      </c>
      <c r="AV4" s="29">
        <v>10</v>
      </c>
      <c r="AW4" s="29"/>
      <c r="AX4" s="29"/>
      <c r="AY4" s="29"/>
      <c r="AZ4" s="29" t="s">
        <v>457</v>
      </c>
      <c r="BA4" s="24"/>
      <c r="BB4" s="29">
        <v>0</v>
      </c>
      <c r="BC4" s="29">
        <v>0</v>
      </c>
      <c r="BD4" s="29">
        <v>10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457</v>
      </c>
      <c r="BN4" s="29"/>
      <c r="BO4" s="29" t="s">
        <v>457</v>
      </c>
      <c r="BP4" s="29"/>
      <c r="BQ4" s="29"/>
      <c r="BR4" s="29"/>
      <c r="BS4" s="30"/>
      <c r="BT4" s="30"/>
      <c r="BU4" s="29"/>
      <c r="BV4" s="29" t="s">
        <v>457</v>
      </c>
      <c r="BW4" s="29"/>
      <c r="BX4" s="24" t="s">
        <v>468</v>
      </c>
      <c r="BY4" s="66" t="s">
        <v>76</v>
      </c>
      <c r="BZ4" s="32" t="s">
        <v>77</v>
      </c>
    </row>
    <row r="5" spans="1:78" x14ac:dyDescent="0.15">
      <c r="A5" s="33">
        <v>242</v>
      </c>
      <c r="B5" s="26">
        <v>42103</v>
      </c>
      <c r="C5" s="27" t="s">
        <v>453</v>
      </c>
      <c r="D5" s="68" t="s">
        <v>454</v>
      </c>
      <c r="E5" s="24"/>
      <c r="F5" s="24" t="s">
        <v>455</v>
      </c>
      <c r="G5" s="28">
        <v>41847</v>
      </c>
      <c r="H5" s="29" t="s">
        <v>456</v>
      </c>
      <c r="I5" s="29" t="s">
        <v>457</v>
      </c>
      <c r="J5" s="29"/>
      <c r="K5" s="24" t="s">
        <v>469</v>
      </c>
      <c r="L5" s="24" t="s">
        <v>470</v>
      </c>
      <c r="M5" s="24">
        <v>89.5</v>
      </c>
      <c r="N5" s="24">
        <v>43.95</v>
      </c>
      <c r="O5" s="24"/>
      <c r="P5" s="25"/>
      <c r="Q5" s="24"/>
      <c r="R5" s="25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 t="s">
        <v>460</v>
      </c>
      <c r="AR5" s="29" t="s">
        <v>457</v>
      </c>
      <c r="AS5" s="29"/>
      <c r="AT5" s="29"/>
      <c r="AU5" s="29" t="s">
        <v>461</v>
      </c>
      <c r="AV5" s="29">
        <v>11.6</v>
      </c>
      <c r="AW5" s="29"/>
      <c r="AX5" s="29"/>
      <c r="AY5" s="29"/>
      <c r="AZ5" s="29" t="s">
        <v>457</v>
      </c>
      <c r="BA5" s="24"/>
      <c r="BB5" s="29">
        <v>0</v>
      </c>
      <c r="BC5" s="29">
        <v>0</v>
      </c>
      <c r="BD5" s="29">
        <v>0</v>
      </c>
      <c r="BE5" s="29">
        <v>20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457</v>
      </c>
      <c r="BN5" s="29"/>
      <c r="BO5" s="29" t="s">
        <v>457</v>
      </c>
      <c r="BP5" s="29"/>
      <c r="BQ5" s="29"/>
      <c r="BR5" s="29"/>
      <c r="BS5" s="30" t="s">
        <v>471</v>
      </c>
      <c r="BT5" s="24"/>
      <c r="BU5" s="29"/>
      <c r="BV5" s="29" t="s">
        <v>457</v>
      </c>
      <c r="BW5" s="29"/>
      <c r="BX5" s="24"/>
      <c r="BY5" t="s">
        <v>424</v>
      </c>
      <c r="BZ5" s="32" t="s">
        <v>472</v>
      </c>
    </row>
    <row r="6" spans="1:78" x14ac:dyDescent="0.15">
      <c r="A6" s="33">
        <v>396</v>
      </c>
      <c r="B6" s="26">
        <v>42103</v>
      </c>
      <c r="C6" s="27" t="s">
        <v>453</v>
      </c>
      <c r="D6" s="68" t="s">
        <v>454</v>
      </c>
      <c r="E6" s="24"/>
      <c r="F6" s="24" t="s">
        <v>455</v>
      </c>
      <c r="G6" s="28">
        <v>41820</v>
      </c>
      <c r="H6" s="29" t="s">
        <v>456</v>
      </c>
      <c r="I6" s="29" t="s">
        <v>457</v>
      </c>
      <c r="J6" s="29"/>
      <c r="K6" s="24" t="s">
        <v>473</v>
      </c>
      <c r="L6" s="24" t="s">
        <v>474</v>
      </c>
      <c r="M6" s="24">
        <v>99.5</v>
      </c>
      <c r="N6" s="24">
        <v>38.9</v>
      </c>
      <c r="O6" s="24" t="s">
        <v>465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 t="s">
        <v>460</v>
      </c>
      <c r="AR6" s="29" t="s">
        <v>457</v>
      </c>
      <c r="AS6" s="29"/>
      <c r="AT6" s="29"/>
      <c r="AU6" s="29" t="s">
        <v>461</v>
      </c>
      <c r="AV6" s="29">
        <v>12</v>
      </c>
      <c r="AW6" s="29"/>
      <c r="AX6" s="29"/>
      <c r="AY6" s="29"/>
      <c r="AZ6" s="29" t="s">
        <v>462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>
        <v>24</v>
      </c>
      <c r="BM6" s="29" t="s">
        <v>456</v>
      </c>
      <c r="BN6" s="29"/>
      <c r="BO6" s="29" t="s">
        <v>457</v>
      </c>
      <c r="BP6" s="29"/>
      <c r="BQ6" s="29"/>
      <c r="BR6" s="29"/>
      <c r="BS6" s="24"/>
      <c r="BT6" s="24"/>
      <c r="BU6" s="29"/>
      <c r="BV6" s="29" t="s">
        <v>457</v>
      </c>
      <c r="BW6" s="29"/>
      <c r="BX6" s="24" t="s">
        <v>475</v>
      </c>
      <c r="BY6" t="s">
        <v>445</v>
      </c>
      <c r="BZ6" s="32" t="s">
        <v>77</v>
      </c>
    </row>
    <row r="7" spans="1:78" x14ac:dyDescent="0.15">
      <c r="A7" s="33">
        <v>574</v>
      </c>
      <c r="B7" s="26">
        <v>42103</v>
      </c>
      <c r="C7" s="27" t="s">
        <v>453</v>
      </c>
      <c r="D7" s="68" t="s">
        <v>454</v>
      </c>
      <c r="E7" s="24"/>
      <c r="F7" s="24" t="s">
        <v>455</v>
      </c>
      <c r="G7" s="28">
        <v>42005</v>
      </c>
      <c r="H7" s="29" t="s">
        <v>456</v>
      </c>
      <c r="I7" s="29" t="s">
        <v>457</v>
      </c>
      <c r="J7" s="29"/>
      <c r="K7" s="24" t="s">
        <v>476</v>
      </c>
      <c r="L7" s="24" t="s">
        <v>477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 t="s">
        <v>460</v>
      </c>
      <c r="AR7" s="29" t="s">
        <v>457</v>
      </c>
      <c r="AS7" s="29"/>
      <c r="AT7" s="29"/>
      <c r="AU7" s="29" t="s">
        <v>461</v>
      </c>
      <c r="AV7" s="29">
        <v>15</v>
      </c>
      <c r="AW7" s="29"/>
      <c r="AX7" s="29"/>
      <c r="AY7" s="29"/>
      <c r="AZ7" s="29" t="s">
        <v>462</v>
      </c>
      <c r="BA7" s="24"/>
      <c r="BB7" s="29">
        <v>0</v>
      </c>
      <c r="BC7" s="29">
        <v>18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457</v>
      </c>
      <c r="BN7" s="29">
        <v>24</v>
      </c>
      <c r="BO7" s="29" t="s">
        <v>457</v>
      </c>
      <c r="BP7" s="29"/>
      <c r="BQ7" s="29"/>
      <c r="BR7" s="29"/>
      <c r="BS7" s="24"/>
      <c r="BT7" s="24"/>
      <c r="BU7" s="29"/>
      <c r="BV7" s="29" t="s">
        <v>457</v>
      </c>
      <c r="BW7" s="29"/>
      <c r="BX7" s="24"/>
      <c r="BY7" s="66" t="s">
        <v>76</v>
      </c>
      <c r="BZ7" s="67" t="s">
        <v>77</v>
      </c>
    </row>
    <row r="8" spans="1:78" x14ac:dyDescent="0.15">
      <c r="A8" s="33">
        <v>4593</v>
      </c>
      <c r="B8" s="26">
        <v>42103</v>
      </c>
      <c r="C8" s="27" t="s">
        <v>453</v>
      </c>
      <c r="D8" s="68" t="s">
        <v>454</v>
      </c>
      <c r="E8" s="24"/>
      <c r="F8" s="24" t="s">
        <v>455</v>
      </c>
      <c r="G8" s="28">
        <v>42035</v>
      </c>
      <c r="H8" s="29" t="s">
        <v>456</v>
      </c>
      <c r="I8" s="29" t="s">
        <v>457</v>
      </c>
      <c r="J8" s="29"/>
      <c r="K8" s="24" t="s">
        <v>302</v>
      </c>
      <c r="L8" s="24" t="s">
        <v>478</v>
      </c>
      <c r="M8" s="24">
        <v>85</v>
      </c>
      <c r="N8" s="24">
        <v>34.5</v>
      </c>
      <c r="O8" s="24" t="s">
        <v>465</v>
      </c>
      <c r="P8" s="25">
        <v>2500</v>
      </c>
      <c r="Q8" s="24">
        <v>34.1</v>
      </c>
      <c r="R8" s="25"/>
      <c r="S8" s="24"/>
      <c r="T8" s="25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460</v>
      </c>
      <c r="AR8" s="29" t="s">
        <v>457</v>
      </c>
      <c r="AS8" s="29"/>
      <c r="AT8" s="29"/>
      <c r="AU8" s="29" t="s">
        <v>461</v>
      </c>
      <c r="AV8" s="29">
        <v>16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3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457</v>
      </c>
      <c r="BN8" s="29"/>
      <c r="BO8" s="29" t="s">
        <v>457</v>
      </c>
      <c r="BP8" s="29"/>
      <c r="BQ8" s="29"/>
      <c r="BR8" s="29"/>
      <c r="BS8" s="24" t="s">
        <v>479</v>
      </c>
      <c r="BT8" s="24" t="s">
        <v>480</v>
      </c>
      <c r="BU8" s="29">
        <v>50</v>
      </c>
      <c r="BV8" s="29" t="s">
        <v>457</v>
      </c>
      <c r="BW8" s="29"/>
      <c r="BX8" s="24"/>
      <c r="BY8" t="s">
        <v>76</v>
      </c>
      <c r="BZ8" s="32" t="s">
        <v>77</v>
      </c>
    </row>
    <row r="9" spans="1:78" x14ac:dyDescent="0.15">
      <c r="A9" s="33">
        <v>931</v>
      </c>
      <c r="B9" s="26">
        <v>42103</v>
      </c>
      <c r="C9" s="27" t="s">
        <v>453</v>
      </c>
      <c r="D9" s="68" t="s">
        <v>454</v>
      </c>
      <c r="E9" s="24"/>
      <c r="F9" s="24" t="s">
        <v>455</v>
      </c>
      <c r="G9" s="26">
        <v>42063</v>
      </c>
      <c r="H9" s="29" t="s">
        <v>456</v>
      </c>
      <c r="I9" s="29" t="s">
        <v>457</v>
      </c>
      <c r="J9" s="29"/>
      <c r="K9" s="24" t="s">
        <v>481</v>
      </c>
      <c r="L9" s="24" t="s">
        <v>482</v>
      </c>
      <c r="M9" s="24">
        <v>95.89</v>
      </c>
      <c r="N9" s="24">
        <v>32.31</v>
      </c>
      <c r="O9" s="24" t="s">
        <v>465</v>
      </c>
      <c r="P9" s="25">
        <v>1200</v>
      </c>
      <c r="Q9" s="24">
        <v>32.31</v>
      </c>
      <c r="R9" s="25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 t="s">
        <v>460</v>
      </c>
      <c r="AR9" s="29" t="s">
        <v>457</v>
      </c>
      <c r="AS9" s="29"/>
      <c r="AT9" s="29"/>
      <c r="AU9" s="29"/>
      <c r="AV9" s="29"/>
      <c r="AW9" s="29"/>
      <c r="AX9" s="29"/>
      <c r="AY9" s="29"/>
      <c r="AZ9" s="29" t="s">
        <v>457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457</v>
      </c>
      <c r="BN9" s="29"/>
      <c r="BO9" s="29" t="s">
        <v>457</v>
      </c>
      <c r="BP9" s="29"/>
      <c r="BQ9" s="29"/>
      <c r="BR9" s="29"/>
      <c r="BS9" s="24"/>
      <c r="BT9" s="24"/>
      <c r="BU9" s="29"/>
      <c r="BV9" s="29" t="s">
        <v>457</v>
      </c>
      <c r="BW9" s="29"/>
      <c r="BX9" s="24"/>
      <c r="BY9" s="66" t="s">
        <v>76</v>
      </c>
      <c r="BZ9" s="67" t="s">
        <v>77</v>
      </c>
    </row>
    <row r="10" spans="1:78" x14ac:dyDescent="0.15">
      <c r="A10" s="33">
        <v>1150</v>
      </c>
      <c r="B10" s="26">
        <v>42103</v>
      </c>
      <c r="C10" s="27" t="s">
        <v>453</v>
      </c>
      <c r="D10" s="68" t="s">
        <v>454</v>
      </c>
      <c r="E10" s="24"/>
      <c r="F10" s="24" t="s">
        <v>455</v>
      </c>
      <c r="G10" s="28">
        <v>41914</v>
      </c>
      <c r="H10" s="29" t="s">
        <v>456</v>
      </c>
      <c r="I10" s="29" t="s">
        <v>457</v>
      </c>
      <c r="J10" s="29"/>
      <c r="K10" s="24" t="s">
        <v>483</v>
      </c>
      <c r="L10" s="24" t="s">
        <v>484</v>
      </c>
      <c r="M10" s="24">
        <v>89.68</v>
      </c>
      <c r="N10" s="24">
        <v>39.770000000000003</v>
      </c>
      <c r="O10" s="24"/>
      <c r="P10" s="25"/>
      <c r="Q10" s="24"/>
      <c r="R10" s="25"/>
      <c r="S10" s="24"/>
      <c r="T10" s="25"/>
      <c r="U10" s="24"/>
      <c r="V10" s="24"/>
      <c r="W10" s="24"/>
      <c r="X10" s="24"/>
      <c r="Y10" s="24"/>
      <c r="Z10" s="25"/>
      <c r="AA10" s="24"/>
      <c r="AB10" s="25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 t="s">
        <v>460</v>
      </c>
      <c r="AR10" s="29" t="s">
        <v>457</v>
      </c>
      <c r="AS10" s="29"/>
      <c r="AT10" s="29"/>
      <c r="AU10" s="29" t="s">
        <v>461</v>
      </c>
      <c r="AV10" s="29">
        <v>10</v>
      </c>
      <c r="AW10" s="29"/>
      <c r="AX10" s="29"/>
      <c r="AY10" s="29"/>
      <c r="AZ10" s="29" t="s">
        <v>462</v>
      </c>
      <c r="BA10" s="24"/>
      <c r="BB10" s="29">
        <v>0</v>
      </c>
      <c r="BC10" s="29">
        <v>16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>
        <v>12</v>
      </c>
      <c r="BM10" s="29" t="s">
        <v>456</v>
      </c>
      <c r="BN10" s="29"/>
      <c r="BO10" s="29" t="s">
        <v>457</v>
      </c>
      <c r="BP10" s="29"/>
      <c r="BQ10" s="29"/>
      <c r="BR10" s="29"/>
      <c r="BS10" s="24"/>
      <c r="BT10" s="24"/>
      <c r="BU10" s="29"/>
      <c r="BV10" s="29" t="s">
        <v>457</v>
      </c>
      <c r="BW10" s="29"/>
      <c r="BX10" s="30" t="s">
        <v>485</v>
      </c>
      <c r="BY10" s="66" t="s">
        <v>76</v>
      </c>
      <c r="BZ10" s="32" t="s">
        <v>77</v>
      </c>
    </row>
    <row r="11" spans="1:78" x14ac:dyDescent="0.15">
      <c r="A11" s="33">
        <v>3825</v>
      </c>
      <c r="B11" s="26">
        <v>42103</v>
      </c>
      <c r="C11" s="27" t="s">
        <v>453</v>
      </c>
      <c r="D11" s="68" t="s">
        <v>454</v>
      </c>
      <c r="E11" s="24"/>
      <c r="F11" s="24" t="s">
        <v>455</v>
      </c>
      <c r="G11" s="28">
        <v>42063</v>
      </c>
      <c r="H11" s="29" t="s">
        <v>456</v>
      </c>
      <c r="I11" s="29" t="s">
        <v>457</v>
      </c>
      <c r="J11" s="29"/>
      <c r="K11" s="24" t="s">
        <v>486</v>
      </c>
      <c r="L11" s="24" t="s">
        <v>446</v>
      </c>
      <c r="M11" s="24">
        <v>91</v>
      </c>
      <c r="N11" s="24">
        <v>42.9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 t="s">
        <v>460</v>
      </c>
      <c r="AR11" s="29" t="s">
        <v>457</v>
      </c>
      <c r="AS11" s="29"/>
      <c r="AT11" s="29"/>
      <c r="AU11" s="29" t="s">
        <v>461</v>
      </c>
      <c r="AV11" s="29">
        <v>16.3</v>
      </c>
      <c r="AW11" s="29"/>
      <c r="AX11" s="29"/>
      <c r="AY11" s="29"/>
      <c r="AZ11" s="29" t="s">
        <v>462</v>
      </c>
      <c r="BA11" s="24"/>
      <c r="BB11" s="29">
        <v>0</v>
      </c>
      <c r="BC11" s="29">
        <v>16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457</v>
      </c>
      <c r="BN11" s="29">
        <v>24</v>
      </c>
      <c r="BO11" s="29" t="s">
        <v>457</v>
      </c>
      <c r="BP11" s="29"/>
      <c r="BQ11" s="29"/>
      <c r="BR11" s="29"/>
      <c r="BS11" s="30"/>
      <c r="BT11" s="30"/>
      <c r="BU11" s="29"/>
      <c r="BV11" s="29" t="s">
        <v>457</v>
      </c>
      <c r="BW11" s="29"/>
      <c r="BX11" s="24"/>
      <c r="BY11" t="s">
        <v>76</v>
      </c>
      <c r="BZ11" s="32" t="s">
        <v>472</v>
      </c>
    </row>
    <row r="12" spans="1:78" x14ac:dyDescent="0.15">
      <c r="A12" s="33">
        <v>1480</v>
      </c>
      <c r="B12" s="26">
        <v>42103</v>
      </c>
      <c r="C12" s="27" t="s">
        <v>453</v>
      </c>
      <c r="D12" s="68" t="s">
        <v>454</v>
      </c>
      <c r="E12" s="24"/>
      <c r="F12" s="24" t="s">
        <v>455</v>
      </c>
      <c r="G12" s="28">
        <v>42035</v>
      </c>
      <c r="H12" s="29" t="s">
        <v>456</v>
      </c>
      <c r="I12" s="29" t="s">
        <v>457</v>
      </c>
      <c r="J12" s="29"/>
      <c r="K12" s="24" t="s">
        <v>487</v>
      </c>
      <c r="L12" s="24" t="s">
        <v>488</v>
      </c>
      <c r="M12" s="24">
        <v>100.5</v>
      </c>
      <c r="N12" s="24">
        <v>39.9</v>
      </c>
      <c r="O12" s="24" t="s">
        <v>465</v>
      </c>
      <c r="P12" s="25">
        <v>2500</v>
      </c>
      <c r="Q12" s="24">
        <v>42</v>
      </c>
      <c r="R12" s="25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 t="s">
        <v>460</v>
      </c>
      <c r="AR12" s="29" t="s">
        <v>457</v>
      </c>
      <c r="AS12" s="29"/>
      <c r="AT12" s="29"/>
      <c r="AU12" s="29" t="s">
        <v>461</v>
      </c>
      <c r="AV12" s="29">
        <v>16</v>
      </c>
      <c r="AW12" s="29"/>
      <c r="AX12" s="29"/>
      <c r="AY12" s="29"/>
      <c r="AZ12" s="29" t="s">
        <v>462</v>
      </c>
      <c r="BA12" s="24"/>
      <c r="BB12" s="29">
        <v>0</v>
      </c>
      <c r="BC12" s="29">
        <v>0</v>
      </c>
      <c r="BD12" s="29">
        <v>10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457</v>
      </c>
      <c r="BN12" s="29"/>
      <c r="BO12" s="29" t="s">
        <v>457</v>
      </c>
      <c r="BP12" s="29"/>
      <c r="BQ12" s="29"/>
      <c r="BR12" s="29"/>
      <c r="BS12" s="24"/>
      <c r="BT12" s="24"/>
      <c r="BU12" s="29"/>
      <c r="BV12" s="29" t="s">
        <v>457</v>
      </c>
      <c r="BW12" s="29"/>
      <c r="BX12" s="24"/>
      <c r="BY12" t="s">
        <v>76</v>
      </c>
      <c r="BZ12" s="67" t="s">
        <v>77</v>
      </c>
    </row>
    <row r="13" spans="1:78" x14ac:dyDescent="0.15">
      <c r="A13" s="33">
        <v>2137</v>
      </c>
      <c r="B13" s="26">
        <v>42103</v>
      </c>
      <c r="C13" s="27" t="s">
        <v>453</v>
      </c>
      <c r="D13" s="68" t="s">
        <v>454</v>
      </c>
      <c r="E13" s="24"/>
      <c r="F13" s="24" t="s">
        <v>455</v>
      </c>
      <c r="G13" s="31">
        <v>42101</v>
      </c>
      <c r="H13" s="29" t="s">
        <v>456</v>
      </c>
      <c r="I13" s="29" t="s">
        <v>457</v>
      </c>
      <c r="J13" s="29"/>
      <c r="K13" s="24" t="s">
        <v>489</v>
      </c>
      <c r="L13" s="24" t="s">
        <v>490</v>
      </c>
      <c r="M13">
        <v>86.38</v>
      </c>
      <c r="N13" s="24">
        <v>40.340000000000003</v>
      </c>
      <c r="O13" s="24"/>
      <c r="P13" s="25"/>
      <c r="Q13" s="24"/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J13" s="24"/>
      <c r="AK13" s="24"/>
      <c r="AL13" s="24"/>
      <c r="AM13" s="24"/>
      <c r="AN13" s="24"/>
      <c r="AO13" s="24"/>
      <c r="AP13" s="24"/>
      <c r="AQ13" t="s">
        <v>460</v>
      </c>
      <c r="AR13" s="29" t="s">
        <v>457</v>
      </c>
      <c r="AS13" s="29"/>
      <c r="AT13" s="29"/>
      <c r="AU13" s="29"/>
      <c r="AV13" s="29"/>
      <c r="AW13" s="29"/>
      <c r="AX13" s="29"/>
      <c r="AY13" s="29"/>
      <c r="AZ13" s="29" t="s">
        <v>457</v>
      </c>
      <c r="BA13" s="24"/>
      <c r="BB13" s="29">
        <v>0</v>
      </c>
      <c r="BC13" s="29">
        <v>20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74" t="s">
        <v>174</v>
      </c>
      <c r="BN13" s="29">
        <v>24</v>
      </c>
      <c r="BO13" s="29" t="s">
        <v>457</v>
      </c>
      <c r="BP13" s="29"/>
      <c r="BQ13" s="29"/>
      <c r="BR13" s="29"/>
      <c r="BS13" s="30" t="s">
        <v>491</v>
      </c>
      <c r="BT13" s="30" t="s">
        <v>480</v>
      </c>
      <c r="BU13" s="29">
        <v>50</v>
      </c>
      <c r="BV13" s="29" t="s">
        <v>457</v>
      </c>
      <c r="BW13" s="29"/>
      <c r="BX13" s="24"/>
      <c r="BY13" t="s">
        <v>492</v>
      </c>
      <c r="BZ13" s="67" t="s">
        <v>39</v>
      </c>
    </row>
    <row r="14" spans="1:78" x14ac:dyDescent="0.15">
      <c r="A14" s="33">
        <v>4422</v>
      </c>
      <c r="B14" s="26">
        <v>42103</v>
      </c>
      <c r="C14" s="27" t="s">
        <v>453</v>
      </c>
      <c r="D14" s="68" t="s">
        <v>454</v>
      </c>
      <c r="E14" s="24"/>
      <c r="F14" s="24" t="s">
        <v>455</v>
      </c>
      <c r="G14" s="31">
        <v>42052</v>
      </c>
      <c r="H14" s="74" t="s">
        <v>175</v>
      </c>
      <c r="I14" s="74" t="s">
        <v>174</v>
      </c>
      <c r="J14" s="29"/>
      <c r="K14" s="24" t="s">
        <v>493</v>
      </c>
      <c r="L14" s="68" t="s">
        <v>446</v>
      </c>
      <c r="M14" s="81">
        <v>120.11818181818181</v>
      </c>
      <c r="N14" s="81">
        <v>36.790909090909089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 t="s">
        <v>460</v>
      </c>
      <c r="AR14" s="29" t="s">
        <v>457</v>
      </c>
      <c r="AS14" s="29"/>
      <c r="AT14" s="29"/>
      <c r="AU14" s="74" t="s">
        <v>382</v>
      </c>
      <c r="AV14" s="29">
        <v>6.8</v>
      </c>
      <c r="AW14" s="29"/>
      <c r="AX14" s="29"/>
      <c r="AY14" s="29"/>
      <c r="AZ14" s="29" t="s">
        <v>457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36</v>
      </c>
      <c r="BM14" s="29" t="s">
        <v>457</v>
      </c>
      <c r="BN14" s="29"/>
      <c r="BO14" s="29" t="s">
        <v>457</v>
      </c>
      <c r="BP14" s="29"/>
      <c r="BQ14" s="29"/>
      <c r="BR14" s="29"/>
      <c r="BS14" s="30"/>
      <c r="BT14" s="30"/>
      <c r="BU14" s="29"/>
      <c r="BV14" s="29" t="s">
        <v>457</v>
      </c>
      <c r="BW14" s="29"/>
      <c r="BX14" s="24" t="s">
        <v>494</v>
      </c>
      <c r="BY14" t="s">
        <v>76</v>
      </c>
      <c r="BZ14" s="32" t="s">
        <v>77</v>
      </c>
    </row>
    <row r="15" spans="1:78" x14ac:dyDescent="0.15">
      <c r="A15" s="33">
        <v>4934</v>
      </c>
      <c r="B15" s="26">
        <v>42103</v>
      </c>
      <c r="C15" s="27" t="s">
        <v>453</v>
      </c>
      <c r="D15" s="68" t="s">
        <v>454</v>
      </c>
      <c r="E15" s="24"/>
      <c r="F15" s="24" t="s">
        <v>455</v>
      </c>
      <c r="G15" s="28">
        <v>42067</v>
      </c>
      <c r="H15" s="29" t="s">
        <v>456</v>
      </c>
      <c r="I15" s="29" t="s">
        <v>457</v>
      </c>
      <c r="J15" s="29"/>
      <c r="K15" s="68" t="s">
        <v>495</v>
      </c>
      <c r="L15" s="68" t="s">
        <v>496</v>
      </c>
      <c r="M15" s="24">
        <v>110.68</v>
      </c>
      <c r="N15" s="24">
        <v>37.090000000000003</v>
      </c>
      <c r="O15" s="24"/>
      <c r="P15" s="25"/>
      <c r="Q15" s="24"/>
      <c r="R15" s="25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5"/>
      <c r="AH15" s="24"/>
      <c r="AI15" s="24"/>
      <c r="AJ15" s="24"/>
      <c r="AK15" s="24"/>
      <c r="AL15" s="24"/>
      <c r="AM15" s="24"/>
      <c r="AN15" s="24"/>
      <c r="AO15" s="24"/>
      <c r="AP15" s="24"/>
      <c r="AQ15" s="24" t="s">
        <v>460</v>
      </c>
      <c r="AR15" s="29" t="s">
        <v>457</v>
      </c>
      <c r="AS15" s="29"/>
      <c r="AT15" s="29"/>
      <c r="AU15" s="29" t="s">
        <v>461</v>
      </c>
      <c r="AV15" s="29">
        <v>10.199999999999999</v>
      </c>
      <c r="AW15" s="29"/>
      <c r="AX15" s="29"/>
      <c r="AY15" s="29"/>
      <c r="AZ15" s="29" t="s">
        <v>462</v>
      </c>
      <c r="BA15" s="24"/>
      <c r="BB15" s="29">
        <v>0</v>
      </c>
      <c r="BC15" s="29">
        <v>0</v>
      </c>
      <c r="BD15" s="29">
        <v>12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457</v>
      </c>
      <c r="BN15" s="29"/>
      <c r="BO15" s="29" t="s">
        <v>457</v>
      </c>
      <c r="BP15" s="29"/>
      <c r="BQ15" s="29"/>
      <c r="BR15" s="29"/>
      <c r="BS15" s="24"/>
      <c r="BT15" s="24"/>
      <c r="BU15" s="29"/>
      <c r="BV15" s="29" t="s">
        <v>457</v>
      </c>
      <c r="BW15" s="29"/>
      <c r="BX15" s="68" t="s">
        <v>497</v>
      </c>
      <c r="BY15" t="s">
        <v>76</v>
      </c>
      <c r="BZ15" s="32" t="s">
        <v>77</v>
      </c>
    </row>
    <row r="16" spans="1:78" x14ac:dyDescent="0.15">
      <c r="A16" s="33">
        <v>4761</v>
      </c>
      <c r="B16" s="26">
        <v>42103</v>
      </c>
      <c r="C16" s="27" t="s">
        <v>453</v>
      </c>
      <c r="D16" s="68" t="s">
        <v>454</v>
      </c>
      <c r="E16" s="24"/>
      <c r="F16" s="24" t="s">
        <v>455</v>
      </c>
      <c r="G16" s="28">
        <v>42020</v>
      </c>
      <c r="H16" s="29" t="s">
        <v>175</v>
      </c>
      <c r="I16" s="29" t="s">
        <v>174</v>
      </c>
      <c r="J16" s="29"/>
      <c r="K16" s="24" t="s">
        <v>437</v>
      </c>
      <c r="L16" s="24" t="s">
        <v>498</v>
      </c>
      <c r="M16" s="24">
        <v>64.349999999999994</v>
      </c>
      <c r="N16" s="24">
        <v>35.880000000000003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5"/>
      <c r="AC16" s="24"/>
      <c r="AD16" s="24"/>
      <c r="AE16" s="24"/>
      <c r="AF16" s="24"/>
      <c r="AG16" s="25"/>
      <c r="AH16" s="24"/>
      <c r="AI16" s="24"/>
      <c r="AJ16" s="24"/>
      <c r="AK16" s="24"/>
      <c r="AL16" s="24"/>
      <c r="AM16" s="24"/>
      <c r="AN16" s="24"/>
      <c r="AO16" s="24"/>
      <c r="AP16" s="24"/>
      <c r="AQ16" s="24" t="s">
        <v>460</v>
      </c>
      <c r="AR16" s="29" t="s">
        <v>174</v>
      </c>
      <c r="AS16" s="29"/>
      <c r="AT16" s="29"/>
      <c r="AU16" s="29" t="s">
        <v>382</v>
      </c>
      <c r="AV16" s="29">
        <v>10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457</v>
      </c>
      <c r="BN16" s="29"/>
      <c r="BO16" s="29" t="s">
        <v>457</v>
      </c>
      <c r="BP16" s="29"/>
      <c r="BQ16" s="29"/>
      <c r="BR16" s="29"/>
      <c r="BS16" s="30"/>
      <c r="BT16" s="30"/>
      <c r="BU16" s="29"/>
      <c r="BV16" s="29" t="s">
        <v>457</v>
      </c>
      <c r="BW16" s="29"/>
      <c r="BX16" s="24" t="s">
        <v>439</v>
      </c>
      <c r="BY16" t="s">
        <v>76</v>
      </c>
      <c r="BZ16" s="67" t="s">
        <v>77</v>
      </c>
    </row>
    <row r="17" spans="1:78" x14ac:dyDescent="0.15">
      <c r="A17" s="33">
        <v>4148</v>
      </c>
      <c r="B17" s="26">
        <v>42103</v>
      </c>
      <c r="C17" s="27" t="s">
        <v>453</v>
      </c>
      <c r="D17" s="68" t="s">
        <v>454</v>
      </c>
      <c r="E17" s="24"/>
      <c r="F17" s="24" t="s">
        <v>455</v>
      </c>
      <c r="G17" s="28">
        <v>41881</v>
      </c>
      <c r="H17" s="29" t="s">
        <v>456</v>
      </c>
      <c r="I17" s="29" t="s">
        <v>457</v>
      </c>
      <c r="J17" s="29"/>
      <c r="K17" s="24" t="s">
        <v>499</v>
      </c>
      <c r="L17" s="24" t="s">
        <v>451</v>
      </c>
      <c r="M17" s="24">
        <v>95</v>
      </c>
      <c r="N17" s="24">
        <v>39.5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 t="s">
        <v>460</v>
      </c>
      <c r="AR17" s="29" t="s">
        <v>457</v>
      </c>
      <c r="AS17" s="29"/>
      <c r="AT17" s="29"/>
      <c r="AU17" s="29" t="s">
        <v>461</v>
      </c>
      <c r="AV17" s="29">
        <v>10</v>
      </c>
      <c r="AW17" s="29"/>
      <c r="AX17" s="29"/>
      <c r="AY17" s="29"/>
      <c r="AZ17" s="29" t="s">
        <v>462</v>
      </c>
      <c r="BA17" s="24"/>
      <c r="BB17" s="29">
        <v>0</v>
      </c>
      <c r="BC17" s="29">
        <v>0</v>
      </c>
      <c r="BD17" s="29">
        <v>7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>
        <v>24</v>
      </c>
      <c r="BM17" s="29" t="s">
        <v>457</v>
      </c>
      <c r="BN17" s="29"/>
      <c r="BO17" s="29" t="s">
        <v>457</v>
      </c>
      <c r="BP17" s="29"/>
      <c r="BQ17" s="29"/>
      <c r="BR17" s="29"/>
      <c r="BS17" s="24"/>
      <c r="BT17" s="24"/>
      <c r="BU17" s="29"/>
      <c r="BV17" s="29" t="s">
        <v>457</v>
      </c>
      <c r="BW17" s="29"/>
      <c r="BX17" s="24"/>
      <c r="BY17" s="66" t="s">
        <v>76</v>
      </c>
      <c r="BZ17" s="32" t="s">
        <v>77</v>
      </c>
    </row>
    <row r="18" spans="1:78" x14ac:dyDescent="0.15">
      <c r="A18" s="33">
        <v>5102</v>
      </c>
      <c r="B18" s="26">
        <v>42104</v>
      </c>
      <c r="C18" s="27" t="s">
        <v>453</v>
      </c>
      <c r="D18" s="68" t="s">
        <v>454</v>
      </c>
      <c r="E18" s="24"/>
      <c r="F18" s="24" t="s">
        <v>455</v>
      </c>
      <c r="G18" s="28">
        <v>42083</v>
      </c>
      <c r="H18" s="74" t="s">
        <v>174</v>
      </c>
      <c r="I18" s="74" t="s">
        <v>500</v>
      </c>
      <c r="J18" s="29"/>
      <c r="K18" s="68" t="s">
        <v>501</v>
      </c>
      <c r="L18" s="68" t="s">
        <v>502</v>
      </c>
      <c r="M18" s="24">
        <v>88.7</v>
      </c>
      <c r="N18" s="24">
        <v>29.32</v>
      </c>
      <c r="O18" s="24"/>
      <c r="P18" s="25"/>
      <c r="Q18" s="24"/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 t="s">
        <v>460</v>
      </c>
      <c r="AR18" s="29" t="s">
        <v>457</v>
      </c>
      <c r="AS18" s="29"/>
      <c r="AT18" s="29"/>
      <c r="AU18" s="29"/>
      <c r="AV18" s="29"/>
      <c r="AW18" s="29"/>
      <c r="AX18" s="29"/>
      <c r="AY18" s="29"/>
      <c r="AZ18" s="29" t="s">
        <v>457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74" t="s">
        <v>174</v>
      </c>
      <c r="BN18" s="29"/>
      <c r="BO18" s="29" t="s">
        <v>503</v>
      </c>
      <c r="BP18" s="29">
        <v>71.819999999999993</v>
      </c>
      <c r="BQ18" s="29"/>
      <c r="BR18" s="29"/>
      <c r="BS18" s="30"/>
      <c r="BT18" s="30"/>
      <c r="BU18" s="29"/>
      <c r="BV18" s="29" t="s">
        <v>503</v>
      </c>
      <c r="BW18" s="29"/>
      <c r="BX18" s="68" t="s">
        <v>504</v>
      </c>
      <c r="BY18" s="66" t="s">
        <v>76</v>
      </c>
      <c r="BZ18" s="67" t="s">
        <v>452</v>
      </c>
    </row>
    <row r="19" spans="1:78" x14ac:dyDescent="0.15">
      <c r="A19" s="33">
        <v>89</v>
      </c>
      <c r="B19" s="26">
        <v>42103</v>
      </c>
      <c r="C19" s="27" t="s">
        <v>453</v>
      </c>
      <c r="D19" s="68" t="s">
        <v>454</v>
      </c>
      <c r="E19" s="24"/>
      <c r="F19" s="24" t="s">
        <v>505</v>
      </c>
      <c r="G19" s="28">
        <v>42063</v>
      </c>
      <c r="H19" s="29" t="s">
        <v>456</v>
      </c>
      <c r="I19" s="29" t="s">
        <v>457</v>
      </c>
      <c r="J19" s="29"/>
      <c r="K19" s="24" t="s">
        <v>458</v>
      </c>
      <c r="L19" s="24" t="s">
        <v>459</v>
      </c>
      <c r="M19" s="24">
        <v>91</v>
      </c>
      <c r="N19" s="24">
        <v>42.9</v>
      </c>
      <c r="O19" s="24"/>
      <c r="P19" s="25"/>
      <c r="Q19" s="24"/>
      <c r="R19" s="25"/>
      <c r="S19" s="24"/>
      <c r="T19" s="25"/>
      <c r="U19" s="24"/>
      <c r="V19" s="24"/>
      <c r="W19" s="24"/>
      <c r="X19" s="24"/>
      <c r="Y19" s="24"/>
      <c r="Z19" s="24"/>
      <c r="AA19" s="24"/>
      <c r="AB19" s="25"/>
      <c r="AC19" s="24"/>
      <c r="AD19" s="24"/>
      <c r="AE19" s="24"/>
      <c r="AF19" s="24">
        <v>21.9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 t="s">
        <v>506</v>
      </c>
      <c r="AR19" s="29" t="s">
        <v>174</v>
      </c>
      <c r="AS19" s="29"/>
      <c r="AT19" s="29"/>
      <c r="AU19" s="29" t="s">
        <v>461</v>
      </c>
      <c r="AV19" s="29">
        <v>16.3</v>
      </c>
      <c r="AW19" s="29"/>
      <c r="AX19" s="29"/>
      <c r="AY19" s="29"/>
      <c r="AZ19" s="29" t="s">
        <v>462</v>
      </c>
      <c r="BA19" s="24"/>
      <c r="BB19" s="29">
        <v>0</v>
      </c>
      <c r="BC19" s="29">
        <v>18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29" t="s">
        <v>457</v>
      </c>
      <c r="BN19" s="29">
        <v>24</v>
      </c>
      <c r="BO19" s="29" t="s">
        <v>457</v>
      </c>
      <c r="BP19" s="29"/>
      <c r="BQ19" s="29"/>
      <c r="BR19" s="29"/>
      <c r="BS19" s="30"/>
      <c r="BT19" s="30"/>
      <c r="BU19" s="29"/>
      <c r="BV19" s="29" t="s">
        <v>457</v>
      </c>
      <c r="BW19" s="29"/>
      <c r="BX19" s="24"/>
      <c r="BY19" s="66" t="s">
        <v>76</v>
      </c>
      <c r="BZ19" s="67" t="s">
        <v>77</v>
      </c>
    </row>
    <row r="20" spans="1:78" x14ac:dyDescent="0.15">
      <c r="A20" s="33">
        <v>4513</v>
      </c>
      <c r="B20" s="26">
        <v>42103</v>
      </c>
      <c r="C20" s="27" t="s">
        <v>453</v>
      </c>
      <c r="D20" s="68" t="s">
        <v>454</v>
      </c>
      <c r="E20" s="24"/>
      <c r="F20" s="24" t="s">
        <v>505</v>
      </c>
      <c r="G20" s="31">
        <v>42062</v>
      </c>
      <c r="H20" s="29" t="s">
        <v>175</v>
      </c>
      <c r="I20" s="29" t="s">
        <v>174</v>
      </c>
      <c r="J20" s="29"/>
      <c r="K20" s="24" t="s">
        <v>463</v>
      </c>
      <c r="L20" s="24" t="s">
        <v>464</v>
      </c>
      <c r="M20" s="24">
        <v>90.5</v>
      </c>
      <c r="N20" s="24">
        <v>44.79</v>
      </c>
      <c r="O20" s="24" t="s">
        <v>465</v>
      </c>
      <c r="P20" s="25">
        <v>2500</v>
      </c>
      <c r="Q20" s="24">
        <v>44.79</v>
      </c>
      <c r="R20" s="25"/>
      <c r="S20" s="25"/>
      <c r="T20" s="25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20.45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 t="s">
        <v>506</v>
      </c>
      <c r="AR20" s="29" t="s">
        <v>457</v>
      </c>
      <c r="AS20" s="29"/>
      <c r="AT20" s="29"/>
      <c r="AU20" s="29" t="s">
        <v>461</v>
      </c>
      <c r="AV20" s="29">
        <v>9.5</v>
      </c>
      <c r="AW20" s="29"/>
      <c r="AX20" s="29"/>
      <c r="AY20" s="29"/>
      <c r="AZ20" s="29" t="s">
        <v>457</v>
      </c>
      <c r="BA20" s="24"/>
      <c r="BB20" s="29">
        <v>0</v>
      </c>
      <c r="BC20" s="29">
        <v>25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29" t="s">
        <v>457</v>
      </c>
      <c r="BN20" s="29">
        <v>12</v>
      </c>
      <c r="BO20" s="29" t="s">
        <v>457</v>
      </c>
      <c r="BP20" s="29"/>
      <c r="BQ20" s="29"/>
      <c r="BR20" s="29"/>
      <c r="BS20" s="24"/>
      <c r="BT20" s="24"/>
      <c r="BU20" s="29"/>
      <c r="BV20" s="29" t="s">
        <v>457</v>
      </c>
      <c r="BW20" s="29"/>
      <c r="BX20" s="68" t="s">
        <v>439</v>
      </c>
      <c r="BY20" s="66" t="s">
        <v>76</v>
      </c>
      <c r="BZ20" s="67" t="s">
        <v>77</v>
      </c>
    </row>
    <row r="21" spans="1:78" x14ac:dyDescent="0.15">
      <c r="A21" s="33">
        <v>4407</v>
      </c>
      <c r="B21" s="26">
        <v>42103</v>
      </c>
      <c r="C21" s="27" t="s">
        <v>453</v>
      </c>
      <c r="D21" s="68" t="s">
        <v>454</v>
      </c>
      <c r="E21" s="24"/>
      <c r="F21" s="24" t="s">
        <v>505</v>
      </c>
      <c r="G21" s="28">
        <v>41975</v>
      </c>
      <c r="H21" s="29" t="s">
        <v>175</v>
      </c>
      <c r="I21" s="29" t="s">
        <v>174</v>
      </c>
      <c r="J21" s="29"/>
      <c r="K21" s="24" t="s">
        <v>466</v>
      </c>
      <c r="L21" s="68" t="s">
        <v>467</v>
      </c>
      <c r="M21" s="24">
        <v>82.5</v>
      </c>
      <c r="N21" s="24">
        <v>46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39.200000000000003</v>
      </c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 t="s">
        <v>506</v>
      </c>
      <c r="AR21" s="29" t="s">
        <v>457</v>
      </c>
      <c r="AS21" s="29"/>
      <c r="AT21" s="29"/>
      <c r="AU21" s="29" t="s">
        <v>382</v>
      </c>
      <c r="AV21" s="29">
        <v>10</v>
      </c>
      <c r="AW21" s="29"/>
      <c r="AX21" s="29"/>
      <c r="AY21" s="29"/>
      <c r="AZ21" s="29" t="s">
        <v>457</v>
      </c>
      <c r="BA21" s="24"/>
      <c r="BB21" s="29">
        <v>0</v>
      </c>
      <c r="BC21" s="29">
        <v>0</v>
      </c>
      <c r="BD21" s="29">
        <v>10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29" t="s">
        <v>457</v>
      </c>
      <c r="BN21" s="29"/>
      <c r="BO21" s="29" t="s">
        <v>457</v>
      </c>
      <c r="BP21" s="29"/>
      <c r="BQ21" s="29"/>
      <c r="BR21" s="29"/>
      <c r="BS21" s="30"/>
      <c r="BT21" s="30"/>
      <c r="BU21" s="29"/>
      <c r="BV21" s="29" t="s">
        <v>457</v>
      </c>
      <c r="BW21" s="29"/>
      <c r="BX21" s="24" t="s">
        <v>468</v>
      </c>
      <c r="BY21" s="66" t="s">
        <v>76</v>
      </c>
      <c r="BZ21" s="32" t="s">
        <v>77</v>
      </c>
    </row>
    <row r="22" spans="1:78" x14ac:dyDescent="0.15">
      <c r="A22" s="33">
        <v>241</v>
      </c>
      <c r="B22" s="26">
        <v>42103</v>
      </c>
      <c r="C22" s="27" t="s">
        <v>453</v>
      </c>
      <c r="D22" s="68" t="s">
        <v>454</v>
      </c>
      <c r="E22" s="24"/>
      <c r="F22" s="24" t="s">
        <v>505</v>
      </c>
      <c r="G22" s="28">
        <v>41847</v>
      </c>
      <c r="H22" s="29" t="s">
        <v>456</v>
      </c>
      <c r="I22" s="29" t="s">
        <v>457</v>
      </c>
      <c r="J22" s="29"/>
      <c r="K22" s="24" t="s">
        <v>469</v>
      </c>
      <c r="L22" s="24" t="s">
        <v>470</v>
      </c>
      <c r="M22" s="24">
        <v>89.5</v>
      </c>
      <c r="N22" s="24">
        <v>43.95</v>
      </c>
      <c r="O22" s="24"/>
      <c r="P22" s="25"/>
      <c r="Q22" s="24"/>
      <c r="R22" s="25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23.7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 t="s">
        <v>506</v>
      </c>
      <c r="AR22" s="29" t="s">
        <v>457</v>
      </c>
      <c r="AS22" s="29"/>
      <c r="AT22" s="29"/>
      <c r="AU22" s="29" t="s">
        <v>461</v>
      </c>
      <c r="AV22" s="29">
        <v>11.6</v>
      </c>
      <c r="AW22" s="29"/>
      <c r="AX22" s="29"/>
      <c r="AY22" s="29"/>
      <c r="AZ22" s="29" t="s">
        <v>457</v>
      </c>
      <c r="BA22" s="24"/>
      <c r="BB22" s="29">
        <v>0</v>
      </c>
      <c r="BC22" s="29">
        <v>0</v>
      </c>
      <c r="BD22" s="29">
        <v>0</v>
      </c>
      <c r="BE22" s="29">
        <v>20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29" t="s">
        <v>457</v>
      </c>
      <c r="BN22" s="29"/>
      <c r="BO22" s="29" t="s">
        <v>457</v>
      </c>
      <c r="BP22" s="29"/>
      <c r="BQ22" s="29"/>
      <c r="BR22" s="29"/>
      <c r="BS22" s="30" t="s">
        <v>471</v>
      </c>
      <c r="BT22" s="24"/>
      <c r="BU22" s="29"/>
      <c r="BV22" s="29" t="s">
        <v>457</v>
      </c>
      <c r="BW22" s="29"/>
      <c r="BX22" s="24"/>
      <c r="BY22" t="s">
        <v>424</v>
      </c>
      <c r="BZ22" s="32" t="s">
        <v>472</v>
      </c>
    </row>
    <row r="23" spans="1:78" x14ac:dyDescent="0.15">
      <c r="A23" s="33">
        <v>395</v>
      </c>
      <c r="B23" s="26">
        <v>42103</v>
      </c>
      <c r="C23" s="27" t="s">
        <v>453</v>
      </c>
      <c r="D23" s="68" t="s">
        <v>454</v>
      </c>
      <c r="E23" s="24"/>
      <c r="F23" s="24" t="s">
        <v>505</v>
      </c>
      <c r="G23" s="28">
        <v>41820</v>
      </c>
      <c r="H23" s="29" t="s">
        <v>456</v>
      </c>
      <c r="I23" s="29" t="s">
        <v>457</v>
      </c>
      <c r="J23" s="29"/>
      <c r="K23" s="24" t="s">
        <v>473</v>
      </c>
      <c r="L23" s="24" t="s">
        <v>474</v>
      </c>
      <c r="M23" s="24">
        <v>99.5</v>
      </c>
      <c r="N23" s="24">
        <v>38.9</v>
      </c>
      <c r="O23" s="24" t="s">
        <v>465</v>
      </c>
      <c r="P23" s="25">
        <v>1000</v>
      </c>
      <c r="Q23" s="24">
        <v>39.950000000000003</v>
      </c>
      <c r="R23" s="25">
        <v>1500</v>
      </c>
      <c r="S23" s="24">
        <v>40.98</v>
      </c>
      <c r="T23" s="25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>
        <v>19.95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 t="s">
        <v>506</v>
      </c>
      <c r="AR23" s="29" t="s">
        <v>457</v>
      </c>
      <c r="AS23" s="29"/>
      <c r="AT23" s="29"/>
      <c r="AU23" s="29" t="s">
        <v>461</v>
      </c>
      <c r="AV23" s="29">
        <v>12</v>
      </c>
      <c r="AW23" s="29"/>
      <c r="AX23" s="29"/>
      <c r="AY23" s="29"/>
      <c r="AZ23" s="29" t="s">
        <v>462</v>
      </c>
      <c r="BA23" s="24"/>
      <c r="BB23" s="29">
        <v>0</v>
      </c>
      <c r="BC23" s="29">
        <v>0</v>
      </c>
      <c r="BD23" s="29">
        <v>7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>
        <v>24</v>
      </c>
      <c r="BM23" s="29" t="s">
        <v>456</v>
      </c>
      <c r="BN23" s="29"/>
      <c r="BO23" s="29" t="s">
        <v>457</v>
      </c>
      <c r="BP23" s="29"/>
      <c r="BQ23" s="29"/>
      <c r="BR23" s="29"/>
      <c r="BS23" s="24"/>
      <c r="BT23" s="24"/>
      <c r="BU23" s="29"/>
      <c r="BV23" s="29" t="s">
        <v>457</v>
      </c>
      <c r="BW23" s="29"/>
      <c r="BX23" s="24" t="s">
        <v>475</v>
      </c>
      <c r="BY23" t="s">
        <v>445</v>
      </c>
      <c r="BZ23" s="32" t="s">
        <v>77</v>
      </c>
    </row>
    <row r="24" spans="1:78" x14ac:dyDescent="0.15">
      <c r="A24" s="33">
        <v>573</v>
      </c>
      <c r="B24" s="26">
        <v>42103</v>
      </c>
      <c r="C24" s="27" t="s">
        <v>453</v>
      </c>
      <c r="D24" s="68" t="s">
        <v>454</v>
      </c>
      <c r="E24" s="24"/>
      <c r="F24" s="24" t="s">
        <v>505</v>
      </c>
      <c r="G24" s="28">
        <v>42005</v>
      </c>
      <c r="H24" s="29" t="s">
        <v>456</v>
      </c>
      <c r="I24" s="29" t="s">
        <v>457</v>
      </c>
      <c r="J24" s="29"/>
      <c r="K24" s="24" t="s">
        <v>476</v>
      </c>
      <c r="L24" s="24" t="s">
        <v>477</v>
      </c>
      <c r="M24" s="24">
        <v>89.6</v>
      </c>
      <c r="N24" s="24">
        <v>46.2</v>
      </c>
      <c r="O24" s="24"/>
      <c r="P24" s="25"/>
      <c r="Q24" s="24"/>
      <c r="R24" s="25"/>
      <c r="S24" s="24"/>
      <c r="T24" s="25"/>
      <c r="U24" s="24"/>
      <c r="V24" s="24"/>
      <c r="W24" s="24"/>
      <c r="X24" s="25"/>
      <c r="Y24" s="24"/>
      <c r="Z24" s="25"/>
      <c r="AA24" s="24"/>
      <c r="AB24" s="25"/>
      <c r="AC24" s="24"/>
      <c r="AD24" s="24"/>
      <c r="AE24" s="24"/>
      <c r="AF24" s="24">
        <v>16.91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 t="s">
        <v>506</v>
      </c>
      <c r="AR24" s="29" t="s">
        <v>457</v>
      </c>
      <c r="AS24" s="29"/>
      <c r="AT24" s="29"/>
      <c r="AU24" s="29" t="s">
        <v>461</v>
      </c>
      <c r="AV24" s="29">
        <v>15</v>
      </c>
      <c r="AW24" s="29"/>
      <c r="AX24" s="29"/>
      <c r="AY24" s="29"/>
      <c r="AZ24" s="29" t="s">
        <v>462</v>
      </c>
      <c r="BA24" s="24"/>
      <c r="BB24" s="29">
        <v>0</v>
      </c>
      <c r="BC24" s="29">
        <v>18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457</v>
      </c>
      <c r="BN24" s="29">
        <v>24</v>
      </c>
      <c r="BO24" s="29" t="s">
        <v>457</v>
      </c>
      <c r="BP24" s="29"/>
      <c r="BQ24" s="29"/>
      <c r="BR24" s="29"/>
      <c r="BS24" s="24"/>
      <c r="BT24" s="24"/>
      <c r="BU24" s="29"/>
      <c r="BV24" s="29" t="s">
        <v>457</v>
      </c>
      <c r="BW24" s="29"/>
      <c r="BX24" s="24"/>
      <c r="BY24" s="66" t="s">
        <v>76</v>
      </c>
      <c r="BZ24" s="67" t="s">
        <v>77</v>
      </c>
    </row>
    <row r="25" spans="1:78" x14ac:dyDescent="0.15">
      <c r="A25" s="33">
        <v>929</v>
      </c>
      <c r="B25" s="26">
        <v>42103</v>
      </c>
      <c r="C25" s="27" t="s">
        <v>453</v>
      </c>
      <c r="D25" s="68" t="s">
        <v>454</v>
      </c>
      <c r="E25" s="24"/>
      <c r="F25" s="24" t="s">
        <v>505</v>
      </c>
      <c r="G25" s="26">
        <v>42063</v>
      </c>
      <c r="H25" s="29" t="s">
        <v>456</v>
      </c>
      <c r="I25" s="29" t="s">
        <v>457</v>
      </c>
      <c r="J25" s="29"/>
      <c r="K25" s="24" t="s">
        <v>481</v>
      </c>
      <c r="L25" s="24" t="s">
        <v>482</v>
      </c>
      <c r="M25" s="24">
        <v>95.89</v>
      </c>
      <c r="N25" s="24">
        <v>31.13</v>
      </c>
      <c r="O25" s="24" t="s">
        <v>465</v>
      </c>
      <c r="P25" s="25">
        <v>1200</v>
      </c>
      <c r="Q25" s="24">
        <v>31.13</v>
      </c>
      <c r="R25" s="25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>
        <v>18.3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 t="s">
        <v>506</v>
      </c>
      <c r="AR25" s="29" t="s">
        <v>457</v>
      </c>
      <c r="AS25" s="29"/>
      <c r="AT25" s="29"/>
      <c r="AU25" s="29"/>
      <c r="AV25" s="29"/>
      <c r="AW25" s="29"/>
      <c r="AX25" s="29"/>
      <c r="AY25" s="29"/>
      <c r="AZ25" s="29" t="s">
        <v>457</v>
      </c>
      <c r="BA25" s="24"/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457</v>
      </c>
      <c r="BN25" s="29"/>
      <c r="BO25" s="29" t="s">
        <v>457</v>
      </c>
      <c r="BP25" s="29"/>
      <c r="BQ25" s="29"/>
      <c r="BR25" s="29"/>
      <c r="BS25" s="24"/>
      <c r="BT25" s="24"/>
      <c r="BU25" s="29"/>
      <c r="BV25" s="29" t="s">
        <v>457</v>
      </c>
      <c r="BW25" s="29"/>
      <c r="BX25" s="24"/>
      <c r="BY25" s="66" t="s">
        <v>76</v>
      </c>
      <c r="BZ25" s="67" t="s">
        <v>77</v>
      </c>
    </row>
    <row r="26" spans="1:78" x14ac:dyDescent="0.15">
      <c r="A26" s="33">
        <v>1149</v>
      </c>
      <c r="B26" s="26">
        <v>42103</v>
      </c>
      <c r="C26" s="27" t="s">
        <v>453</v>
      </c>
      <c r="D26" s="68" t="s">
        <v>454</v>
      </c>
      <c r="E26" s="24"/>
      <c r="F26" s="24" t="s">
        <v>505</v>
      </c>
      <c r="G26" s="28">
        <v>41914</v>
      </c>
      <c r="H26" s="29" t="s">
        <v>456</v>
      </c>
      <c r="I26" s="29" t="s">
        <v>457</v>
      </c>
      <c r="J26" s="29"/>
      <c r="K26" s="24" t="s">
        <v>483</v>
      </c>
      <c r="L26" s="24" t="s">
        <v>484</v>
      </c>
      <c r="M26" s="24">
        <v>89.68</v>
      </c>
      <c r="N26" s="24">
        <v>39.770000000000003</v>
      </c>
      <c r="O26" s="24"/>
      <c r="P26" s="24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19.059999999999999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506</v>
      </c>
      <c r="AR26" s="29" t="s">
        <v>457</v>
      </c>
      <c r="AS26" s="29"/>
      <c r="AT26" s="29"/>
      <c r="AU26" s="29" t="s">
        <v>461</v>
      </c>
      <c r="AV26" s="29">
        <v>10</v>
      </c>
      <c r="AW26" s="29"/>
      <c r="AX26" s="29"/>
      <c r="AY26" s="29"/>
      <c r="AZ26" s="29" t="s">
        <v>462</v>
      </c>
      <c r="BA26" s="24"/>
      <c r="BB26" s="29">
        <v>0</v>
      </c>
      <c r="BC26" s="29">
        <v>16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>
        <v>12</v>
      </c>
      <c r="BM26" s="29" t="s">
        <v>456</v>
      </c>
      <c r="BN26" s="29"/>
      <c r="BO26" s="29" t="s">
        <v>457</v>
      </c>
      <c r="BP26" s="29"/>
      <c r="BQ26" s="29"/>
      <c r="BR26" s="29"/>
      <c r="BS26" s="24"/>
      <c r="BT26" s="24"/>
      <c r="BU26" s="29"/>
      <c r="BV26" s="29" t="s">
        <v>457</v>
      </c>
      <c r="BW26" s="29"/>
      <c r="BX26" s="30" t="s">
        <v>485</v>
      </c>
      <c r="BY26" s="66" t="s">
        <v>76</v>
      </c>
      <c r="BZ26" s="32" t="s">
        <v>77</v>
      </c>
    </row>
    <row r="27" spans="1:78" x14ac:dyDescent="0.15">
      <c r="A27" s="33">
        <v>3824</v>
      </c>
      <c r="B27" s="26">
        <v>42103</v>
      </c>
      <c r="C27" s="27" t="s">
        <v>453</v>
      </c>
      <c r="D27" s="68" t="s">
        <v>454</v>
      </c>
      <c r="E27" s="24"/>
      <c r="F27" s="24" t="s">
        <v>505</v>
      </c>
      <c r="G27" s="28">
        <v>42063</v>
      </c>
      <c r="H27" s="29" t="s">
        <v>456</v>
      </c>
      <c r="I27" s="29" t="s">
        <v>457</v>
      </c>
      <c r="J27" s="29"/>
      <c r="K27" s="24" t="s">
        <v>486</v>
      </c>
      <c r="L27" s="24" t="s">
        <v>446</v>
      </c>
      <c r="M27" s="24">
        <v>91</v>
      </c>
      <c r="N27" s="24">
        <v>42.9</v>
      </c>
      <c r="O27" s="24"/>
      <c r="P27" s="25"/>
      <c r="Q27" s="24"/>
      <c r="R27" s="25"/>
      <c r="S27" s="24"/>
      <c r="T27" s="25"/>
      <c r="U27" s="24"/>
      <c r="V27" s="24"/>
      <c r="W27" s="24"/>
      <c r="X27" s="24"/>
      <c r="Y27" s="24"/>
      <c r="Z27" s="25"/>
      <c r="AA27" s="24"/>
      <c r="AB27" s="25"/>
      <c r="AC27" s="24"/>
      <c r="AD27" s="24"/>
      <c r="AE27" s="24"/>
      <c r="AF27" s="24">
        <v>21.9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 t="s">
        <v>506</v>
      </c>
      <c r="AR27" s="29" t="s">
        <v>457</v>
      </c>
      <c r="AS27" s="29"/>
      <c r="AT27" s="29"/>
      <c r="AU27" s="29" t="s">
        <v>461</v>
      </c>
      <c r="AV27" s="29">
        <v>16.3</v>
      </c>
      <c r="AW27" s="29"/>
      <c r="AX27" s="29"/>
      <c r="AY27" s="29"/>
      <c r="AZ27" s="29" t="s">
        <v>462</v>
      </c>
      <c r="BA27" s="24"/>
      <c r="BB27" s="29">
        <v>0</v>
      </c>
      <c r="BC27" s="29">
        <v>16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457</v>
      </c>
      <c r="BN27" s="29">
        <v>24</v>
      </c>
      <c r="BO27" s="29" t="s">
        <v>457</v>
      </c>
      <c r="BP27" s="29"/>
      <c r="BQ27" s="29"/>
      <c r="BR27" s="29"/>
      <c r="BS27" s="30"/>
      <c r="BT27" s="30"/>
      <c r="BU27" s="29"/>
      <c r="BV27" s="29" t="s">
        <v>457</v>
      </c>
      <c r="BW27" s="29"/>
      <c r="BX27" s="24"/>
      <c r="BY27" t="s">
        <v>76</v>
      </c>
      <c r="BZ27" s="32" t="s">
        <v>472</v>
      </c>
    </row>
    <row r="28" spans="1:78" x14ac:dyDescent="0.15">
      <c r="A28" s="33">
        <v>1479</v>
      </c>
      <c r="B28" s="26">
        <v>42103</v>
      </c>
      <c r="C28" s="27" t="s">
        <v>453</v>
      </c>
      <c r="D28" s="68" t="s">
        <v>454</v>
      </c>
      <c r="E28" s="24"/>
      <c r="F28" s="24" t="s">
        <v>505</v>
      </c>
      <c r="G28" s="28">
        <v>42035</v>
      </c>
      <c r="H28" s="29" t="s">
        <v>456</v>
      </c>
      <c r="I28" s="29" t="s">
        <v>457</v>
      </c>
      <c r="J28" s="29"/>
      <c r="K28" s="24" t="s">
        <v>487</v>
      </c>
      <c r="L28" s="24" t="s">
        <v>488</v>
      </c>
      <c r="M28" s="24">
        <v>100.5</v>
      </c>
      <c r="N28" s="24">
        <v>39.9</v>
      </c>
      <c r="O28" s="24" t="s">
        <v>465</v>
      </c>
      <c r="P28" s="25">
        <v>2500</v>
      </c>
      <c r="Q28" s="24">
        <v>42</v>
      </c>
      <c r="R28" s="25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19.350000000000001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 t="s">
        <v>506</v>
      </c>
      <c r="AR28" s="29" t="s">
        <v>457</v>
      </c>
      <c r="AS28" s="29"/>
      <c r="AT28" s="29"/>
      <c r="AU28" s="29" t="s">
        <v>461</v>
      </c>
      <c r="AV28" s="29">
        <v>16</v>
      </c>
      <c r="AW28" s="29"/>
      <c r="AX28" s="29"/>
      <c r="AY28" s="29"/>
      <c r="AZ28" s="29" t="s">
        <v>462</v>
      </c>
      <c r="BA28" s="24"/>
      <c r="BB28" s="29">
        <v>0</v>
      </c>
      <c r="BC28" s="29">
        <v>0</v>
      </c>
      <c r="BD28" s="29">
        <v>10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457</v>
      </c>
      <c r="BN28" s="29"/>
      <c r="BO28" s="29" t="s">
        <v>457</v>
      </c>
      <c r="BP28" s="29"/>
      <c r="BQ28" s="29"/>
      <c r="BR28" s="29"/>
      <c r="BS28" s="24"/>
      <c r="BT28" s="24"/>
      <c r="BU28" s="29"/>
      <c r="BV28" s="29" t="s">
        <v>457</v>
      </c>
      <c r="BW28" s="29"/>
      <c r="BX28" s="24"/>
      <c r="BY28" t="s">
        <v>76</v>
      </c>
      <c r="BZ28" s="67" t="s">
        <v>77</v>
      </c>
    </row>
    <row r="29" spans="1:78" x14ac:dyDescent="0.15">
      <c r="A29" s="33">
        <v>2136</v>
      </c>
      <c r="B29" s="26">
        <v>42103</v>
      </c>
      <c r="C29" s="27" t="s">
        <v>453</v>
      </c>
      <c r="D29" s="68" t="s">
        <v>454</v>
      </c>
      <c r="E29" s="24"/>
      <c r="F29" s="24" t="s">
        <v>505</v>
      </c>
      <c r="G29" s="31">
        <v>42101</v>
      </c>
      <c r="H29" s="29" t="s">
        <v>456</v>
      </c>
      <c r="I29" s="29" t="s">
        <v>457</v>
      </c>
      <c r="J29" s="29"/>
      <c r="K29" s="24" t="s">
        <v>489</v>
      </c>
      <c r="L29" s="24" t="s">
        <v>490</v>
      </c>
      <c r="M29" s="24">
        <v>86.38</v>
      </c>
      <c r="N29" s="24">
        <v>40.340000000000003</v>
      </c>
      <c r="O29" s="24"/>
      <c r="P29" s="25"/>
      <c r="Q29" s="24"/>
      <c r="R29" s="25"/>
      <c r="S29" s="24"/>
      <c r="T29" s="25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27.49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/>
      <c r="AQ29" s="24" t="s">
        <v>506</v>
      </c>
      <c r="AR29" s="29" t="s">
        <v>457</v>
      </c>
      <c r="AS29" s="29"/>
      <c r="AT29" s="29"/>
      <c r="AU29" s="29"/>
      <c r="AV29" s="29"/>
      <c r="AW29" s="29"/>
      <c r="AX29" s="29"/>
      <c r="AY29" s="29"/>
      <c r="AZ29" s="29" t="s">
        <v>457</v>
      </c>
      <c r="BA29" s="24"/>
      <c r="BB29" s="29">
        <v>0</v>
      </c>
      <c r="BC29" s="29">
        <v>20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74" t="s">
        <v>174</v>
      </c>
      <c r="BN29" s="29">
        <v>24</v>
      </c>
      <c r="BO29" s="29" t="s">
        <v>457</v>
      </c>
      <c r="BP29" s="29"/>
      <c r="BQ29" s="29"/>
      <c r="BR29" s="29"/>
      <c r="BS29" s="30" t="s">
        <v>491</v>
      </c>
      <c r="BT29" s="30" t="s">
        <v>480</v>
      </c>
      <c r="BU29" s="29">
        <v>50</v>
      </c>
      <c r="BV29" s="29" t="s">
        <v>457</v>
      </c>
      <c r="BW29" s="29"/>
      <c r="BX29" s="24"/>
      <c r="BY29" t="s">
        <v>492</v>
      </c>
      <c r="BZ29" s="67" t="s">
        <v>39</v>
      </c>
    </row>
    <row r="30" spans="1:78" x14ac:dyDescent="0.15">
      <c r="A30" s="33">
        <v>4421</v>
      </c>
      <c r="B30" s="26">
        <v>42103</v>
      </c>
      <c r="C30" s="27" t="s">
        <v>453</v>
      </c>
      <c r="D30" s="68" t="s">
        <v>454</v>
      </c>
      <c r="E30" s="24"/>
      <c r="F30" s="24" t="s">
        <v>505</v>
      </c>
      <c r="G30" s="31">
        <v>42052</v>
      </c>
      <c r="H30" s="74" t="s">
        <v>175</v>
      </c>
      <c r="I30" s="74" t="s">
        <v>174</v>
      </c>
      <c r="J30" s="29"/>
      <c r="K30" s="24" t="s">
        <v>493</v>
      </c>
      <c r="L30" s="68" t="s">
        <v>446</v>
      </c>
      <c r="M30" s="81">
        <v>120.11818181818181</v>
      </c>
      <c r="N30" s="81">
        <v>36.790909090909089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27.25</v>
      </c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 t="s">
        <v>506</v>
      </c>
      <c r="AR30" s="29" t="s">
        <v>457</v>
      </c>
      <c r="AS30" s="29"/>
      <c r="AT30" s="29"/>
      <c r="AU30" s="74" t="s">
        <v>382</v>
      </c>
      <c r="AV30" s="29">
        <v>6.8</v>
      </c>
      <c r="AW30" s="29"/>
      <c r="AX30" s="29"/>
      <c r="AY30" s="29"/>
      <c r="AZ30" s="29" t="s">
        <v>457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>
        <v>36</v>
      </c>
      <c r="BM30" s="29" t="s">
        <v>457</v>
      </c>
      <c r="BN30" s="29"/>
      <c r="BO30" s="29" t="s">
        <v>457</v>
      </c>
      <c r="BP30" s="29"/>
      <c r="BQ30" s="29"/>
      <c r="BR30" s="29"/>
      <c r="BS30" s="30"/>
      <c r="BT30" s="30"/>
      <c r="BU30" s="29"/>
      <c r="BV30" s="29" t="s">
        <v>457</v>
      </c>
      <c r="BW30" s="29"/>
      <c r="BX30" s="24" t="s">
        <v>494</v>
      </c>
      <c r="BY30" t="s">
        <v>76</v>
      </c>
      <c r="BZ30" s="32" t="s">
        <v>77</v>
      </c>
    </row>
    <row r="31" spans="1:78" x14ac:dyDescent="0.15">
      <c r="A31" s="33">
        <v>4933</v>
      </c>
      <c r="B31" s="26">
        <v>42103</v>
      </c>
      <c r="C31" s="27" t="s">
        <v>453</v>
      </c>
      <c r="D31" s="68" t="s">
        <v>454</v>
      </c>
      <c r="E31" s="24"/>
      <c r="F31" s="24" t="s">
        <v>505</v>
      </c>
      <c r="G31" s="28">
        <v>42067</v>
      </c>
      <c r="H31" s="29" t="s">
        <v>456</v>
      </c>
      <c r="I31" s="29" t="s">
        <v>457</v>
      </c>
      <c r="J31" s="29"/>
      <c r="K31" s="68" t="s">
        <v>495</v>
      </c>
      <c r="L31" s="68" t="s">
        <v>496</v>
      </c>
      <c r="M31" s="24">
        <v>110.68</v>
      </c>
      <c r="N31" s="24">
        <v>37.090000000000003</v>
      </c>
      <c r="O31" s="24"/>
      <c r="P31" s="25"/>
      <c r="Q31" s="24"/>
      <c r="R31" s="25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>
        <v>25.82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 t="s">
        <v>506</v>
      </c>
      <c r="AR31" s="29" t="s">
        <v>457</v>
      </c>
      <c r="AS31" s="29"/>
      <c r="AT31" s="29"/>
      <c r="AU31" s="29" t="s">
        <v>461</v>
      </c>
      <c r="AV31" s="29">
        <v>10.199999999999999</v>
      </c>
      <c r="AW31" s="29"/>
      <c r="AX31" s="29"/>
      <c r="AY31" s="29"/>
      <c r="AZ31" s="29" t="s">
        <v>462</v>
      </c>
      <c r="BA31" s="24"/>
      <c r="BB31" s="29">
        <v>0</v>
      </c>
      <c r="BC31" s="29">
        <v>0</v>
      </c>
      <c r="BD31" s="29">
        <v>12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457</v>
      </c>
      <c r="BN31" s="29"/>
      <c r="BO31" s="29" t="s">
        <v>457</v>
      </c>
      <c r="BP31" s="29"/>
      <c r="BQ31" s="29"/>
      <c r="BR31" s="29"/>
      <c r="BS31" s="24"/>
      <c r="BT31" s="24"/>
      <c r="BU31" s="29"/>
      <c r="BV31" s="29" t="s">
        <v>457</v>
      </c>
      <c r="BW31" s="29"/>
      <c r="BX31" s="68" t="s">
        <v>497</v>
      </c>
      <c r="BY31" t="s">
        <v>76</v>
      </c>
      <c r="BZ31" s="32" t="s">
        <v>77</v>
      </c>
    </row>
    <row r="32" spans="1:78" x14ac:dyDescent="0.15">
      <c r="A32" s="33">
        <v>4760</v>
      </c>
      <c r="B32" s="26">
        <v>42103</v>
      </c>
      <c r="C32" s="27" t="s">
        <v>453</v>
      </c>
      <c r="D32" s="68" t="s">
        <v>454</v>
      </c>
      <c r="E32" s="24"/>
      <c r="F32" s="24" t="s">
        <v>505</v>
      </c>
      <c r="G32" s="28">
        <v>42020</v>
      </c>
      <c r="H32" s="29" t="s">
        <v>175</v>
      </c>
      <c r="I32" s="29" t="s">
        <v>174</v>
      </c>
      <c r="J32" s="29"/>
      <c r="K32" s="24" t="s">
        <v>437</v>
      </c>
      <c r="L32" s="24" t="s">
        <v>498</v>
      </c>
      <c r="M32" s="24">
        <v>64.349999999999994</v>
      </c>
      <c r="N32" s="24">
        <v>35.880000000000003</v>
      </c>
      <c r="O32" s="24"/>
      <c r="P32" s="25"/>
      <c r="Q32" s="24"/>
      <c r="R32" s="25"/>
      <c r="S32" s="24"/>
      <c r="T32" s="25"/>
      <c r="U32" s="24"/>
      <c r="V32" s="24"/>
      <c r="W32" s="24"/>
      <c r="X32" s="24"/>
      <c r="Y32" s="24"/>
      <c r="Z32" s="24"/>
      <c r="AA32" s="24"/>
      <c r="AB32" s="25"/>
      <c r="AC32" s="24"/>
      <c r="AD32" s="24"/>
      <c r="AE32" s="24"/>
      <c r="AF32" s="24">
        <v>30.57</v>
      </c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 t="s">
        <v>506</v>
      </c>
      <c r="AR32" s="29" t="s">
        <v>174</v>
      </c>
      <c r="AS32" s="29"/>
      <c r="AT32" s="29"/>
      <c r="AU32" s="29" t="s">
        <v>382</v>
      </c>
      <c r="AV32" s="29">
        <v>10</v>
      </c>
      <c r="AW32" s="29"/>
      <c r="AX32" s="29"/>
      <c r="AY32" s="29"/>
      <c r="AZ32" s="29" t="s">
        <v>174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457</v>
      </c>
      <c r="BN32" s="29"/>
      <c r="BO32" s="29" t="s">
        <v>457</v>
      </c>
      <c r="BP32" s="29"/>
      <c r="BQ32" s="29"/>
      <c r="BR32" s="29"/>
      <c r="BS32" s="30"/>
      <c r="BT32" s="30"/>
      <c r="BU32" s="29"/>
      <c r="BV32" s="29" t="s">
        <v>457</v>
      </c>
      <c r="BW32" s="29"/>
      <c r="BX32" s="24" t="s">
        <v>439</v>
      </c>
      <c r="BY32" t="s">
        <v>76</v>
      </c>
      <c r="BZ32" s="67" t="s">
        <v>77</v>
      </c>
    </row>
    <row r="33" spans="1:78" x14ac:dyDescent="0.15">
      <c r="A33" s="33">
        <v>4594</v>
      </c>
      <c r="B33" s="26">
        <v>42103</v>
      </c>
      <c r="C33" s="27" t="s">
        <v>453</v>
      </c>
      <c r="D33" s="68" t="s">
        <v>454</v>
      </c>
      <c r="E33" s="24"/>
      <c r="F33" s="24" t="s">
        <v>505</v>
      </c>
      <c r="G33" s="28">
        <v>42035</v>
      </c>
      <c r="H33" s="29" t="s">
        <v>456</v>
      </c>
      <c r="I33" s="29" t="s">
        <v>457</v>
      </c>
      <c r="J33" s="29"/>
      <c r="K33" s="24" t="s">
        <v>302</v>
      </c>
      <c r="L33" s="24" t="s">
        <v>478</v>
      </c>
      <c r="M33" s="24">
        <v>85</v>
      </c>
      <c r="N33" s="24">
        <v>34.5</v>
      </c>
      <c r="O33" s="24" t="s">
        <v>465</v>
      </c>
      <c r="P33" s="25">
        <v>2500</v>
      </c>
      <c r="Q33" s="24">
        <v>34.1</v>
      </c>
      <c r="R33" s="25"/>
      <c r="S33" s="24"/>
      <c r="T33" s="25"/>
      <c r="U33" s="24"/>
      <c r="V33" s="24"/>
      <c r="W33" s="24"/>
      <c r="X33" s="25"/>
      <c r="Y33" s="24"/>
      <c r="Z33" s="25"/>
      <c r="AA33" s="24"/>
      <c r="AB33" s="25"/>
      <c r="AC33" s="24"/>
      <c r="AD33" s="24"/>
      <c r="AE33" s="24"/>
      <c r="AF33" s="24">
        <v>18.8</v>
      </c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 t="s">
        <v>506</v>
      </c>
      <c r="AR33" s="29" t="s">
        <v>457</v>
      </c>
      <c r="AS33" s="29"/>
      <c r="AT33" s="29"/>
      <c r="AU33" s="29" t="s">
        <v>461</v>
      </c>
      <c r="AV33" s="29">
        <v>16</v>
      </c>
      <c r="AW33" s="29"/>
      <c r="AX33" s="29"/>
      <c r="AY33" s="29"/>
      <c r="AZ33" s="29" t="s">
        <v>457</v>
      </c>
      <c r="BA33" s="24"/>
      <c r="BB33" s="29">
        <v>0</v>
      </c>
      <c r="BC33" s="29">
        <v>0</v>
      </c>
      <c r="BD33" s="29">
        <v>3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457</v>
      </c>
      <c r="BN33" s="29"/>
      <c r="BO33" s="29" t="s">
        <v>457</v>
      </c>
      <c r="BP33" s="29"/>
      <c r="BQ33" s="29"/>
      <c r="BR33" s="29"/>
      <c r="BS33" s="24" t="s">
        <v>479</v>
      </c>
      <c r="BT33" s="24" t="s">
        <v>480</v>
      </c>
      <c r="BU33" s="29">
        <v>50</v>
      </c>
      <c r="BV33" s="29" t="s">
        <v>457</v>
      </c>
      <c r="BW33" s="29"/>
      <c r="BX33" s="24"/>
      <c r="BY33" s="66" t="s">
        <v>76</v>
      </c>
      <c r="BZ33" s="32" t="s">
        <v>77</v>
      </c>
    </row>
    <row r="34" spans="1:78" x14ac:dyDescent="0.15">
      <c r="A34" s="33">
        <v>5103</v>
      </c>
      <c r="B34" s="26">
        <v>42104</v>
      </c>
      <c r="C34" s="27" t="s">
        <v>453</v>
      </c>
      <c r="D34" s="68" t="s">
        <v>454</v>
      </c>
      <c r="E34" s="24"/>
      <c r="F34" s="24" t="s">
        <v>505</v>
      </c>
      <c r="G34" s="28">
        <v>42083</v>
      </c>
      <c r="H34" s="74" t="s">
        <v>174</v>
      </c>
      <c r="I34" s="74" t="s">
        <v>500</v>
      </c>
      <c r="J34" s="29"/>
      <c r="K34" s="68" t="s">
        <v>501</v>
      </c>
      <c r="L34" s="68" t="s">
        <v>502</v>
      </c>
      <c r="M34" s="24">
        <v>88.7</v>
      </c>
      <c r="N34" s="24">
        <v>29.32</v>
      </c>
      <c r="O34" s="24"/>
      <c r="P34" s="25"/>
      <c r="Q34" s="24"/>
      <c r="R34" s="25"/>
      <c r="S34" s="24"/>
      <c r="T34" s="25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>
        <v>16.8</v>
      </c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 t="s">
        <v>506</v>
      </c>
      <c r="AR34" s="29" t="s">
        <v>457</v>
      </c>
      <c r="AS34" s="29"/>
      <c r="AT34" s="29"/>
      <c r="AU34" s="29"/>
      <c r="AV34" s="29"/>
      <c r="AW34" s="29"/>
      <c r="AX34" s="29"/>
      <c r="AY34" s="29"/>
      <c r="AZ34" s="29" t="s">
        <v>457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74" t="s">
        <v>174</v>
      </c>
      <c r="BN34" s="29"/>
      <c r="BO34" s="29" t="s">
        <v>503</v>
      </c>
      <c r="BP34" s="29">
        <v>71.819999999999993</v>
      </c>
      <c r="BQ34" s="29"/>
      <c r="BR34" s="29"/>
      <c r="BS34" s="30"/>
      <c r="BT34" s="30"/>
      <c r="BU34" s="29"/>
      <c r="BV34" s="29" t="s">
        <v>503</v>
      </c>
      <c r="BW34" s="29"/>
      <c r="BX34" s="68" t="s">
        <v>504</v>
      </c>
      <c r="BY34" s="66" t="s">
        <v>76</v>
      </c>
      <c r="BZ34" s="67" t="s">
        <v>452</v>
      </c>
    </row>
    <row r="35" spans="1:78" x14ac:dyDescent="0.15">
      <c r="A35" s="33">
        <v>92</v>
      </c>
      <c r="B35" s="26">
        <v>42103</v>
      </c>
      <c r="C35" s="27" t="s">
        <v>453</v>
      </c>
      <c r="D35" s="68" t="s">
        <v>454</v>
      </c>
      <c r="E35" s="24"/>
      <c r="F35" s="24" t="s">
        <v>507</v>
      </c>
      <c r="G35" s="28">
        <v>42063</v>
      </c>
      <c r="H35" s="29" t="s">
        <v>456</v>
      </c>
      <c r="I35" s="29" t="s">
        <v>457</v>
      </c>
      <c r="J35" s="29"/>
      <c r="K35" s="24" t="s">
        <v>458</v>
      </c>
      <c r="L35" s="24" t="s">
        <v>459</v>
      </c>
      <c r="M35" s="24">
        <v>91</v>
      </c>
      <c r="N35" s="24">
        <v>42.9</v>
      </c>
      <c r="O35" s="24"/>
      <c r="P35" s="25"/>
      <c r="Q35" s="24"/>
      <c r="R35" s="25"/>
      <c r="S35" s="24"/>
      <c r="T35" s="25"/>
      <c r="U35" s="24"/>
      <c r="V35" s="24"/>
      <c r="W35" s="24">
        <v>27.9</v>
      </c>
      <c r="X35" s="25"/>
      <c r="Y35" s="24"/>
      <c r="Z35" s="25"/>
      <c r="AA35" s="24"/>
      <c r="AB35" s="25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 t="s">
        <v>508</v>
      </c>
      <c r="AR35" s="29" t="s">
        <v>174</v>
      </c>
      <c r="AS35" s="29"/>
      <c r="AT35" s="29"/>
      <c r="AU35" s="29" t="s">
        <v>461</v>
      </c>
      <c r="AV35" s="29">
        <v>16.3</v>
      </c>
      <c r="AW35" s="29"/>
      <c r="AX35" s="29"/>
      <c r="AY35" s="29"/>
      <c r="AZ35" s="29" t="s">
        <v>462</v>
      </c>
      <c r="BA35" s="24"/>
      <c r="BB35" s="29">
        <v>0</v>
      </c>
      <c r="BC35" s="29">
        <v>18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457</v>
      </c>
      <c r="BN35" s="29">
        <v>24</v>
      </c>
      <c r="BO35" s="29" t="s">
        <v>457</v>
      </c>
      <c r="BP35" s="29"/>
      <c r="BQ35" s="29"/>
      <c r="BR35" s="29"/>
      <c r="BS35" s="30"/>
      <c r="BT35" s="30"/>
      <c r="BU35" s="29"/>
      <c r="BV35" s="29" t="s">
        <v>457</v>
      </c>
      <c r="BW35" s="29"/>
      <c r="BX35" s="24"/>
      <c r="BY35" s="66" t="s">
        <v>76</v>
      </c>
      <c r="BZ35" s="67" t="s">
        <v>77</v>
      </c>
    </row>
    <row r="36" spans="1:78" x14ac:dyDescent="0.15">
      <c r="A36" s="33">
        <v>4516</v>
      </c>
      <c r="B36" s="26">
        <v>42103</v>
      </c>
      <c r="C36" s="27" t="s">
        <v>453</v>
      </c>
      <c r="D36" s="68" t="s">
        <v>454</v>
      </c>
      <c r="E36" s="24"/>
      <c r="F36" s="24" t="s">
        <v>509</v>
      </c>
      <c r="G36" s="31">
        <v>42062</v>
      </c>
      <c r="H36" s="29" t="s">
        <v>175</v>
      </c>
      <c r="I36" s="29" t="s">
        <v>174</v>
      </c>
      <c r="J36" s="29"/>
      <c r="K36" s="24" t="s">
        <v>463</v>
      </c>
      <c r="L36" s="24" t="s">
        <v>464</v>
      </c>
      <c r="M36" s="24">
        <v>90.5</v>
      </c>
      <c r="N36" s="24">
        <v>50.85</v>
      </c>
      <c r="O36" s="24"/>
      <c r="P36" s="25"/>
      <c r="Q36" s="24"/>
      <c r="R36" s="25"/>
      <c r="S36" s="25"/>
      <c r="T36" s="25"/>
      <c r="U36" s="24"/>
      <c r="V36" s="24"/>
      <c r="W36" s="24">
        <v>30.36</v>
      </c>
      <c r="X36" s="24"/>
      <c r="Y36" s="24"/>
      <c r="Z36" s="24"/>
      <c r="AA36" s="24"/>
      <c r="AB36" s="24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 t="s">
        <v>508</v>
      </c>
      <c r="AR36" s="29" t="s">
        <v>457</v>
      </c>
      <c r="AS36" s="29"/>
      <c r="AT36" s="29"/>
      <c r="AU36" s="29" t="s">
        <v>461</v>
      </c>
      <c r="AV36" s="29">
        <v>9.5</v>
      </c>
      <c r="AW36" s="29"/>
      <c r="AX36" s="29"/>
      <c r="AY36" s="29"/>
      <c r="AZ36" s="29" t="s">
        <v>457</v>
      </c>
      <c r="BA36" s="24"/>
      <c r="BB36" s="29">
        <v>0</v>
      </c>
      <c r="BC36" s="29">
        <v>25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457</v>
      </c>
      <c r="BN36" s="29">
        <v>12</v>
      </c>
      <c r="BO36" s="29" t="s">
        <v>457</v>
      </c>
      <c r="BP36" s="29"/>
      <c r="BQ36" s="29"/>
      <c r="BR36" s="29"/>
      <c r="BS36" s="24"/>
      <c r="BT36" s="24"/>
      <c r="BU36" s="29"/>
      <c r="BV36" s="29" t="s">
        <v>457</v>
      </c>
      <c r="BW36" s="29"/>
      <c r="BX36" s="68" t="s">
        <v>439</v>
      </c>
      <c r="BY36" s="66" t="s">
        <v>76</v>
      </c>
      <c r="BZ36" s="67" t="s">
        <v>77</v>
      </c>
    </row>
    <row r="37" spans="1:78" x14ac:dyDescent="0.15">
      <c r="A37" s="33">
        <v>4409</v>
      </c>
      <c r="B37" s="26">
        <v>42103</v>
      </c>
      <c r="C37" s="27" t="s">
        <v>453</v>
      </c>
      <c r="D37" s="68" t="s">
        <v>454</v>
      </c>
      <c r="E37" s="24"/>
      <c r="F37" s="24" t="s">
        <v>507</v>
      </c>
      <c r="G37" s="28">
        <v>41975</v>
      </c>
      <c r="H37" s="29" t="s">
        <v>175</v>
      </c>
      <c r="I37" s="29" t="s">
        <v>174</v>
      </c>
      <c r="J37" s="29"/>
      <c r="K37" s="24" t="s">
        <v>466</v>
      </c>
      <c r="L37" s="68" t="s">
        <v>467</v>
      </c>
      <c r="M37" s="24">
        <v>82.5</v>
      </c>
      <c r="N37" s="24">
        <v>47.9</v>
      </c>
      <c r="O37" s="24"/>
      <c r="P37" s="24"/>
      <c r="Q37" s="24"/>
      <c r="R37" s="24"/>
      <c r="S37" s="24"/>
      <c r="T37" s="24"/>
      <c r="U37" s="24"/>
      <c r="V37" s="24"/>
      <c r="W37" s="24">
        <v>39.700000000000003</v>
      </c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 t="s">
        <v>508</v>
      </c>
      <c r="AR37" s="29" t="s">
        <v>457</v>
      </c>
      <c r="AS37" s="29"/>
      <c r="AT37" s="29"/>
      <c r="AU37" s="29" t="s">
        <v>382</v>
      </c>
      <c r="AV37" s="29">
        <v>10</v>
      </c>
      <c r="AW37" s="29"/>
      <c r="AX37" s="29"/>
      <c r="AY37" s="29"/>
      <c r="AZ37" s="29" t="s">
        <v>457</v>
      </c>
      <c r="BA37" s="24"/>
      <c r="BB37" s="29">
        <v>0</v>
      </c>
      <c r="BC37" s="29">
        <v>0</v>
      </c>
      <c r="BD37" s="29">
        <v>10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457</v>
      </c>
      <c r="BN37" s="29"/>
      <c r="BO37" s="29" t="s">
        <v>457</v>
      </c>
      <c r="BP37" s="29"/>
      <c r="BQ37" s="29"/>
      <c r="BR37" s="29"/>
      <c r="BS37" s="30"/>
      <c r="BT37" s="30"/>
      <c r="BU37" s="29"/>
      <c r="BV37" s="29" t="s">
        <v>457</v>
      </c>
      <c r="BW37" s="29"/>
      <c r="BX37" s="24" t="s">
        <v>468</v>
      </c>
      <c r="BY37" s="66" t="s">
        <v>76</v>
      </c>
      <c r="BZ37" s="32" t="s">
        <v>77</v>
      </c>
    </row>
    <row r="38" spans="1:78" x14ac:dyDescent="0.15">
      <c r="A38" s="33">
        <v>243</v>
      </c>
      <c r="B38" s="26">
        <v>42103</v>
      </c>
      <c r="C38" s="27" t="s">
        <v>453</v>
      </c>
      <c r="D38" s="68" t="s">
        <v>454</v>
      </c>
      <c r="E38" s="24"/>
      <c r="F38" s="24" t="s">
        <v>507</v>
      </c>
      <c r="G38" s="28">
        <v>41847</v>
      </c>
      <c r="H38" s="29" t="s">
        <v>456</v>
      </c>
      <c r="I38" s="29" t="s">
        <v>457</v>
      </c>
      <c r="J38" s="29"/>
      <c r="K38" s="24" t="s">
        <v>469</v>
      </c>
      <c r="L38" s="24" t="s">
        <v>470</v>
      </c>
      <c r="M38" s="24">
        <v>89.5</v>
      </c>
      <c r="N38" s="24">
        <v>48.7</v>
      </c>
      <c r="O38" s="24"/>
      <c r="P38" s="25"/>
      <c r="Q38" s="24"/>
      <c r="R38" s="25"/>
      <c r="S38" s="24"/>
      <c r="T38" s="24"/>
      <c r="U38" s="24"/>
      <c r="V38" s="24"/>
      <c r="W38" s="24">
        <v>30.95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 t="s">
        <v>508</v>
      </c>
      <c r="AR38" s="29" t="s">
        <v>457</v>
      </c>
      <c r="AS38" s="29"/>
      <c r="AT38" s="29"/>
      <c r="AU38" s="29" t="s">
        <v>461</v>
      </c>
      <c r="AV38" s="29">
        <v>11.6</v>
      </c>
      <c r="AW38" s="29"/>
      <c r="AX38" s="29"/>
      <c r="AY38" s="29"/>
      <c r="AZ38" s="29" t="s">
        <v>457</v>
      </c>
      <c r="BA38" s="24"/>
      <c r="BB38" s="29">
        <v>0</v>
      </c>
      <c r="BC38" s="29">
        <v>0</v>
      </c>
      <c r="BD38" s="29">
        <v>0</v>
      </c>
      <c r="BE38" s="29">
        <v>20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29" t="s">
        <v>457</v>
      </c>
      <c r="BN38" s="29"/>
      <c r="BO38" s="29" t="s">
        <v>457</v>
      </c>
      <c r="BP38" s="29"/>
      <c r="BQ38" s="29"/>
      <c r="BR38" s="29"/>
      <c r="BS38" s="30" t="s">
        <v>471</v>
      </c>
      <c r="BT38" s="24"/>
      <c r="BU38" s="29"/>
      <c r="BV38" s="29" t="s">
        <v>457</v>
      </c>
      <c r="BW38" s="29"/>
      <c r="BX38" s="24"/>
      <c r="BY38" t="s">
        <v>424</v>
      </c>
      <c r="BZ38" s="32" t="s">
        <v>472</v>
      </c>
    </row>
    <row r="39" spans="1:78" x14ac:dyDescent="0.15">
      <c r="A39" s="33">
        <v>397</v>
      </c>
      <c r="B39" s="26">
        <v>42103</v>
      </c>
      <c r="C39" s="27" t="s">
        <v>453</v>
      </c>
      <c r="D39" s="68" t="s">
        <v>454</v>
      </c>
      <c r="E39" s="24"/>
      <c r="F39" s="24" t="s">
        <v>507</v>
      </c>
      <c r="G39" s="28">
        <v>41820</v>
      </c>
      <c r="H39" s="29" t="s">
        <v>456</v>
      </c>
      <c r="I39" s="29" t="s">
        <v>457</v>
      </c>
      <c r="J39" s="29"/>
      <c r="K39" s="24" t="s">
        <v>473</v>
      </c>
      <c r="L39" s="24" t="s">
        <v>474</v>
      </c>
      <c r="M39" s="24">
        <v>99.5</v>
      </c>
      <c r="N39" s="24">
        <v>41.9</v>
      </c>
      <c r="O39" s="24" t="s">
        <v>465</v>
      </c>
      <c r="P39" s="25">
        <v>1000</v>
      </c>
      <c r="Q39" s="24">
        <v>42.6</v>
      </c>
      <c r="R39" s="25">
        <v>1500</v>
      </c>
      <c r="S39" s="24">
        <v>44.9</v>
      </c>
      <c r="T39" s="25"/>
      <c r="U39" s="24"/>
      <c r="V39" s="24"/>
      <c r="W39" s="24">
        <v>27.95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 t="s">
        <v>508</v>
      </c>
      <c r="AR39" s="29" t="s">
        <v>457</v>
      </c>
      <c r="AS39" s="29"/>
      <c r="AT39" s="29"/>
      <c r="AU39" s="29" t="s">
        <v>461</v>
      </c>
      <c r="AV39" s="29">
        <v>12</v>
      </c>
      <c r="AW39" s="29"/>
      <c r="AX39" s="29"/>
      <c r="AY39" s="29"/>
      <c r="AZ39" s="29" t="s">
        <v>462</v>
      </c>
      <c r="BA39" s="24"/>
      <c r="BB39" s="29">
        <v>0</v>
      </c>
      <c r="BC39" s="29">
        <v>0</v>
      </c>
      <c r="BD39" s="29">
        <v>7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>
        <v>24</v>
      </c>
      <c r="BM39" s="29" t="s">
        <v>456</v>
      </c>
      <c r="BN39" s="29"/>
      <c r="BO39" s="29" t="s">
        <v>457</v>
      </c>
      <c r="BP39" s="29"/>
      <c r="BQ39" s="29"/>
      <c r="BR39" s="29"/>
      <c r="BS39" s="24"/>
      <c r="BT39" s="24"/>
      <c r="BU39" s="29"/>
      <c r="BV39" s="29" t="s">
        <v>457</v>
      </c>
      <c r="BW39" s="29"/>
      <c r="BX39" s="24" t="s">
        <v>475</v>
      </c>
      <c r="BY39" t="s">
        <v>445</v>
      </c>
      <c r="BZ39" s="32" t="s">
        <v>77</v>
      </c>
    </row>
    <row r="40" spans="1:78" x14ac:dyDescent="0.15">
      <c r="A40" s="33">
        <v>575</v>
      </c>
      <c r="B40" s="26">
        <v>42103</v>
      </c>
      <c r="C40" s="27" t="s">
        <v>453</v>
      </c>
      <c r="D40" s="68" t="s">
        <v>454</v>
      </c>
      <c r="E40" s="24"/>
      <c r="F40" s="24" t="s">
        <v>507</v>
      </c>
      <c r="G40" s="28">
        <v>42005</v>
      </c>
      <c r="H40" s="29" t="s">
        <v>456</v>
      </c>
      <c r="I40" s="29" t="s">
        <v>457</v>
      </c>
      <c r="J40" s="29"/>
      <c r="K40" s="24" t="s">
        <v>476</v>
      </c>
      <c r="L40" s="24" t="s">
        <v>477</v>
      </c>
      <c r="M40" s="24">
        <v>89.6</v>
      </c>
      <c r="N40" s="24">
        <v>52.42</v>
      </c>
      <c r="O40" s="24"/>
      <c r="P40" s="25"/>
      <c r="Q40" s="24"/>
      <c r="R40" s="25"/>
      <c r="S40" s="24"/>
      <c r="T40" s="25"/>
      <c r="U40" s="24"/>
      <c r="V40" s="24"/>
      <c r="W40" s="24">
        <v>25.3</v>
      </c>
      <c r="X40" s="25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 t="s">
        <v>508</v>
      </c>
      <c r="AR40" s="29" t="s">
        <v>457</v>
      </c>
      <c r="AS40" s="29"/>
      <c r="AT40" s="29"/>
      <c r="AU40" s="29" t="s">
        <v>461</v>
      </c>
      <c r="AV40" s="29">
        <v>15</v>
      </c>
      <c r="AW40" s="29"/>
      <c r="AX40" s="29"/>
      <c r="AY40" s="29"/>
      <c r="AZ40" s="29" t="s">
        <v>462</v>
      </c>
      <c r="BA40" s="24"/>
      <c r="BB40" s="29">
        <v>0</v>
      </c>
      <c r="BC40" s="29">
        <v>18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457</v>
      </c>
      <c r="BN40" s="29">
        <v>24</v>
      </c>
      <c r="BO40" s="29" t="s">
        <v>457</v>
      </c>
      <c r="BP40" s="29"/>
      <c r="BQ40" s="29"/>
      <c r="BR40" s="29"/>
      <c r="BS40" s="24"/>
      <c r="BT40" s="24"/>
      <c r="BU40" s="29"/>
      <c r="BV40" s="29" t="s">
        <v>457</v>
      </c>
      <c r="BW40" s="29"/>
      <c r="BX40" s="24"/>
      <c r="BY40" s="66" t="s">
        <v>76</v>
      </c>
      <c r="BZ40" s="67" t="s">
        <v>77</v>
      </c>
    </row>
    <row r="41" spans="1:78" x14ac:dyDescent="0.15">
      <c r="A41" s="33">
        <v>4595</v>
      </c>
      <c r="B41" s="26">
        <v>42103</v>
      </c>
      <c r="C41" s="27" t="s">
        <v>453</v>
      </c>
      <c r="D41" s="68" t="s">
        <v>454</v>
      </c>
      <c r="E41" s="24"/>
      <c r="F41" s="24" t="s">
        <v>507</v>
      </c>
      <c r="G41" s="28">
        <v>42035</v>
      </c>
      <c r="H41" s="29" t="s">
        <v>456</v>
      </c>
      <c r="I41" s="29" t="s">
        <v>457</v>
      </c>
      <c r="J41" s="29"/>
      <c r="K41" s="24" t="s">
        <v>302</v>
      </c>
      <c r="L41" s="24" t="s">
        <v>478</v>
      </c>
      <c r="M41" s="24">
        <v>85</v>
      </c>
      <c r="N41" s="24">
        <v>36.6</v>
      </c>
      <c r="O41" s="24" t="s">
        <v>465</v>
      </c>
      <c r="P41" s="25">
        <v>5000</v>
      </c>
      <c r="Q41" s="24">
        <v>36.299999999999997</v>
      </c>
      <c r="R41" s="25"/>
      <c r="S41" s="24"/>
      <c r="T41" s="25"/>
      <c r="U41" s="24"/>
      <c r="V41" s="24"/>
      <c r="W41" s="24">
        <v>27.518000000000001</v>
      </c>
      <c r="X41" s="24"/>
      <c r="Y41" s="24"/>
      <c r="Z41" s="24"/>
      <c r="AA41" s="24"/>
      <c r="AB41" s="24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 t="s">
        <v>508</v>
      </c>
      <c r="AR41" s="29" t="s">
        <v>457</v>
      </c>
      <c r="AS41" s="29"/>
      <c r="AT41" s="29"/>
      <c r="AU41" s="29" t="s">
        <v>461</v>
      </c>
      <c r="AV41" s="29">
        <v>16</v>
      </c>
      <c r="AW41" s="29"/>
      <c r="AX41" s="29"/>
      <c r="AY41" s="29"/>
      <c r="AZ41" s="29" t="s">
        <v>361</v>
      </c>
      <c r="BA41" s="24"/>
      <c r="BB41" s="29">
        <v>0</v>
      </c>
      <c r="BC41" s="29">
        <v>0</v>
      </c>
      <c r="BD41" s="29">
        <v>3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457</v>
      </c>
      <c r="BN41" s="29"/>
      <c r="BO41" s="29" t="s">
        <v>457</v>
      </c>
      <c r="BP41" s="29"/>
      <c r="BQ41" s="29"/>
      <c r="BR41" s="29"/>
      <c r="BS41" s="24" t="s">
        <v>479</v>
      </c>
      <c r="BT41" s="24" t="s">
        <v>480</v>
      </c>
      <c r="BU41" s="29">
        <v>50</v>
      </c>
      <c r="BV41" s="29" t="s">
        <v>457</v>
      </c>
      <c r="BW41" s="29"/>
      <c r="BX41" s="24"/>
      <c r="BY41" t="s">
        <v>76</v>
      </c>
      <c r="BZ41" s="32" t="s">
        <v>77</v>
      </c>
    </row>
    <row r="42" spans="1:78" x14ac:dyDescent="0.15">
      <c r="A42" s="33">
        <v>932</v>
      </c>
      <c r="B42" s="26">
        <v>42103</v>
      </c>
      <c r="C42" s="27" t="s">
        <v>453</v>
      </c>
      <c r="D42" s="68" t="s">
        <v>454</v>
      </c>
      <c r="E42" s="24"/>
      <c r="F42" s="24" t="s">
        <v>507</v>
      </c>
      <c r="G42" s="26">
        <v>42063</v>
      </c>
      <c r="H42" s="29" t="s">
        <v>456</v>
      </c>
      <c r="I42" s="29" t="s">
        <v>457</v>
      </c>
      <c r="J42" s="29"/>
      <c r="K42" s="24" t="s">
        <v>481</v>
      </c>
      <c r="L42" s="24" t="s">
        <v>482</v>
      </c>
      <c r="M42" s="24">
        <v>101.19</v>
      </c>
      <c r="N42" s="24">
        <v>36.15</v>
      </c>
      <c r="O42" s="24" t="s">
        <v>465</v>
      </c>
      <c r="P42" s="25">
        <v>1200</v>
      </c>
      <c r="Q42" s="24">
        <v>36.15</v>
      </c>
      <c r="R42" s="25"/>
      <c r="S42" s="24"/>
      <c r="T42" s="24"/>
      <c r="U42" s="24"/>
      <c r="V42" s="24"/>
      <c r="W42" s="24">
        <v>21.55</v>
      </c>
      <c r="X42" s="24"/>
      <c r="Y42" s="24"/>
      <c r="Z42" s="24"/>
      <c r="AA42" s="24"/>
      <c r="AB42" s="24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 t="s">
        <v>508</v>
      </c>
      <c r="AR42" s="29" t="s">
        <v>457</v>
      </c>
      <c r="AS42" s="29"/>
      <c r="AT42" s="29"/>
      <c r="AU42" s="29"/>
      <c r="AV42" s="29"/>
      <c r="AW42" s="29"/>
      <c r="AX42" s="29"/>
      <c r="AY42" s="29"/>
      <c r="AZ42" s="29" t="s">
        <v>457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457</v>
      </c>
      <c r="BN42" s="29"/>
      <c r="BO42" s="29" t="s">
        <v>457</v>
      </c>
      <c r="BP42" s="29"/>
      <c r="BQ42" s="29"/>
      <c r="BR42" s="29"/>
      <c r="BS42" s="24"/>
      <c r="BT42" s="24"/>
      <c r="BU42" s="29"/>
      <c r="BV42" s="29" t="s">
        <v>457</v>
      </c>
      <c r="BW42" s="29"/>
      <c r="BX42" s="24"/>
      <c r="BY42" s="66" t="s">
        <v>76</v>
      </c>
      <c r="BZ42" s="67" t="s">
        <v>77</v>
      </c>
    </row>
    <row r="43" spans="1:78" x14ac:dyDescent="0.15">
      <c r="A43" s="33">
        <v>1151</v>
      </c>
      <c r="B43" s="26">
        <v>42103</v>
      </c>
      <c r="C43" s="27" t="s">
        <v>453</v>
      </c>
      <c r="D43" s="68" t="s">
        <v>454</v>
      </c>
      <c r="E43" s="24"/>
      <c r="F43" s="24" t="s">
        <v>507</v>
      </c>
      <c r="G43" s="28">
        <v>41914</v>
      </c>
      <c r="H43" s="29" t="s">
        <v>456</v>
      </c>
      <c r="I43" s="29" t="s">
        <v>457</v>
      </c>
      <c r="J43" s="29"/>
      <c r="K43" s="24" t="s">
        <v>483</v>
      </c>
      <c r="L43" s="24" t="s">
        <v>484</v>
      </c>
      <c r="M43" s="24">
        <v>89.68</v>
      </c>
      <c r="N43" s="24">
        <v>42.06</v>
      </c>
      <c r="O43" s="24"/>
      <c r="P43" s="25"/>
      <c r="Q43" s="24"/>
      <c r="R43" s="25"/>
      <c r="S43" s="24"/>
      <c r="T43" s="25"/>
      <c r="U43" s="24"/>
      <c r="V43" s="24"/>
      <c r="W43" s="24">
        <v>27.31</v>
      </c>
      <c r="X43" s="24"/>
      <c r="Y43" s="24"/>
      <c r="Z43" s="25"/>
      <c r="AA43" s="24"/>
      <c r="AB43" s="25"/>
      <c r="AC43" s="24"/>
      <c r="AD43" s="24"/>
      <c r="AE43" s="24"/>
      <c r="AF43" s="24"/>
      <c r="AG43" s="25"/>
      <c r="AH43" s="24"/>
      <c r="AI43" s="24"/>
      <c r="AJ43" s="24"/>
      <c r="AK43" s="24"/>
      <c r="AL43" s="24"/>
      <c r="AM43" s="24"/>
      <c r="AN43" s="24"/>
      <c r="AO43" s="24"/>
      <c r="AP43" s="24"/>
      <c r="AQ43" s="24" t="s">
        <v>508</v>
      </c>
      <c r="AR43" s="29" t="s">
        <v>457</v>
      </c>
      <c r="AS43" s="29"/>
      <c r="AT43" s="29"/>
      <c r="AU43" s="29" t="s">
        <v>461</v>
      </c>
      <c r="AV43" s="29">
        <v>10</v>
      </c>
      <c r="AW43" s="29"/>
      <c r="AX43" s="29"/>
      <c r="AY43" s="29"/>
      <c r="AZ43" s="29" t="s">
        <v>462</v>
      </c>
      <c r="BA43" s="24"/>
      <c r="BB43" s="29">
        <v>0</v>
      </c>
      <c r="BC43" s="29">
        <v>16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12</v>
      </c>
      <c r="BM43" s="29" t="s">
        <v>456</v>
      </c>
      <c r="BN43" s="29"/>
      <c r="BO43" s="29" t="s">
        <v>457</v>
      </c>
      <c r="BP43" s="29"/>
      <c r="BQ43" s="29"/>
      <c r="BR43" s="29"/>
      <c r="BS43" s="30"/>
      <c r="BT43" s="30"/>
      <c r="BU43" s="29"/>
      <c r="BV43" s="29" t="s">
        <v>457</v>
      </c>
      <c r="BW43" s="29"/>
      <c r="BX43" s="30" t="s">
        <v>485</v>
      </c>
      <c r="BY43" s="66" t="s">
        <v>76</v>
      </c>
      <c r="BZ43" s="32" t="s">
        <v>77</v>
      </c>
    </row>
    <row r="44" spans="1:78" x14ac:dyDescent="0.15">
      <c r="A44" s="33">
        <v>3826</v>
      </c>
      <c r="B44" s="26">
        <v>42103</v>
      </c>
      <c r="C44" s="27" t="s">
        <v>453</v>
      </c>
      <c r="D44" s="68" t="s">
        <v>454</v>
      </c>
      <c r="E44" s="24"/>
      <c r="F44" s="24" t="s">
        <v>507</v>
      </c>
      <c r="G44" s="28">
        <v>42063</v>
      </c>
      <c r="H44" s="29" t="s">
        <v>456</v>
      </c>
      <c r="I44" s="29" t="s">
        <v>457</v>
      </c>
      <c r="J44" s="29"/>
      <c r="K44" s="24" t="s">
        <v>486</v>
      </c>
      <c r="L44" s="24" t="s">
        <v>446</v>
      </c>
      <c r="M44" s="24">
        <v>91</v>
      </c>
      <c r="N44" s="24">
        <v>42.9</v>
      </c>
      <c r="O44" s="24"/>
      <c r="P44" s="25"/>
      <c r="Q44" s="24"/>
      <c r="R44" s="25"/>
      <c r="S44" s="24"/>
      <c r="T44" s="25"/>
      <c r="U44" s="24"/>
      <c r="V44" s="24"/>
      <c r="W44" s="24">
        <v>27.9</v>
      </c>
      <c r="X44" s="24"/>
      <c r="Y44" s="24"/>
      <c r="Z44" s="25"/>
      <c r="AA44" s="24"/>
      <c r="AB44" s="25"/>
      <c r="AC44" s="24"/>
      <c r="AD44" s="24"/>
      <c r="AE44" s="24"/>
      <c r="AF44" s="24"/>
      <c r="AG44" s="25"/>
      <c r="AH44" s="24"/>
      <c r="AI44" s="24"/>
      <c r="AJ44" s="24"/>
      <c r="AK44" s="24"/>
      <c r="AL44" s="24"/>
      <c r="AM44" s="24"/>
      <c r="AN44" s="24"/>
      <c r="AO44" s="24"/>
      <c r="AP44" s="24"/>
      <c r="AQ44" s="24" t="s">
        <v>508</v>
      </c>
      <c r="AR44" s="29" t="s">
        <v>457</v>
      </c>
      <c r="AS44" s="29"/>
      <c r="AT44" s="29"/>
      <c r="AU44" s="29" t="s">
        <v>461</v>
      </c>
      <c r="AV44" s="29">
        <v>16.3</v>
      </c>
      <c r="AW44" s="29"/>
      <c r="AX44" s="29"/>
      <c r="AY44" s="29"/>
      <c r="AZ44" s="29" t="s">
        <v>462</v>
      </c>
      <c r="BA44" s="24"/>
      <c r="BB44" s="29">
        <v>0</v>
      </c>
      <c r="BC44" s="29">
        <v>16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457</v>
      </c>
      <c r="BN44" s="29">
        <v>24</v>
      </c>
      <c r="BO44" s="29" t="s">
        <v>457</v>
      </c>
      <c r="BP44" s="29"/>
      <c r="BQ44" s="29"/>
      <c r="BR44" s="29"/>
      <c r="BS44" s="30"/>
      <c r="BT44" s="30"/>
      <c r="BU44" s="29"/>
      <c r="BV44" s="29" t="s">
        <v>457</v>
      </c>
      <c r="BW44" s="29"/>
      <c r="BX44" s="24"/>
      <c r="BY44" t="s">
        <v>76</v>
      </c>
      <c r="BZ44" s="32" t="s">
        <v>472</v>
      </c>
    </row>
    <row r="45" spans="1:78" x14ac:dyDescent="0.15">
      <c r="A45" s="33">
        <v>1481</v>
      </c>
      <c r="B45" s="26">
        <v>42103</v>
      </c>
      <c r="C45" s="27" t="s">
        <v>453</v>
      </c>
      <c r="D45" s="68" t="s">
        <v>454</v>
      </c>
      <c r="E45" s="24"/>
      <c r="F45" s="24" t="s">
        <v>507</v>
      </c>
      <c r="G45" s="28">
        <v>42035</v>
      </c>
      <c r="H45" s="29" t="s">
        <v>456</v>
      </c>
      <c r="I45" s="29" t="s">
        <v>457</v>
      </c>
      <c r="J45" s="29"/>
      <c r="K45" s="24" t="s">
        <v>487</v>
      </c>
      <c r="L45" s="24" t="s">
        <v>488</v>
      </c>
      <c r="M45" s="24">
        <v>100.5</v>
      </c>
      <c r="N45" s="24">
        <v>44.6</v>
      </c>
      <c r="O45" s="24"/>
      <c r="P45" s="25"/>
      <c r="Q45" s="24"/>
      <c r="R45" s="25"/>
      <c r="S45" s="24"/>
      <c r="T45" s="24"/>
      <c r="U45" s="24"/>
      <c r="V45" s="24"/>
      <c r="W45" s="24">
        <v>32.85</v>
      </c>
      <c r="X45" s="24"/>
      <c r="Y45" s="24"/>
      <c r="Z45" s="24"/>
      <c r="AA45" s="24"/>
      <c r="AB45" s="24"/>
      <c r="AC45" s="24"/>
      <c r="AD45" s="24"/>
      <c r="AE45" s="24"/>
      <c r="AF45" s="24"/>
      <c r="AG45" s="25"/>
      <c r="AH45" s="24"/>
      <c r="AI45" s="24"/>
      <c r="AJ45" s="24"/>
      <c r="AK45" s="24"/>
      <c r="AL45" s="24"/>
      <c r="AM45" s="24"/>
      <c r="AN45" s="24"/>
      <c r="AO45" s="24"/>
      <c r="AP45" s="24"/>
      <c r="AQ45" s="24" t="s">
        <v>508</v>
      </c>
      <c r="AR45" s="29" t="s">
        <v>457</v>
      </c>
      <c r="AS45" s="29"/>
      <c r="AT45" s="29"/>
      <c r="AU45" s="29" t="s">
        <v>461</v>
      </c>
      <c r="AV45" s="29">
        <v>16</v>
      </c>
      <c r="AW45" s="29"/>
      <c r="AX45" s="29"/>
      <c r="AY45" s="29"/>
      <c r="AZ45" s="29" t="s">
        <v>462</v>
      </c>
      <c r="BA45" s="24"/>
      <c r="BB45" s="29">
        <v>0</v>
      </c>
      <c r="BC45" s="29">
        <v>0</v>
      </c>
      <c r="BD45" s="29">
        <v>10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457</v>
      </c>
      <c r="BN45" s="29"/>
      <c r="BO45" s="29" t="s">
        <v>457</v>
      </c>
      <c r="BP45" s="29"/>
      <c r="BQ45" s="29"/>
      <c r="BR45" s="29"/>
      <c r="BS45" s="24"/>
      <c r="BT45" s="24"/>
      <c r="BU45" s="29"/>
      <c r="BV45" s="29" t="s">
        <v>457</v>
      </c>
      <c r="BW45" s="29"/>
      <c r="BX45" s="24"/>
      <c r="BY45" t="s">
        <v>76</v>
      </c>
      <c r="BZ45" s="67" t="s">
        <v>77</v>
      </c>
    </row>
    <row r="46" spans="1:78" x14ac:dyDescent="0.15">
      <c r="A46" s="33">
        <v>2138</v>
      </c>
      <c r="B46" s="26">
        <v>42103</v>
      </c>
      <c r="C46" s="27" t="s">
        <v>453</v>
      </c>
      <c r="D46" s="68" t="s">
        <v>454</v>
      </c>
      <c r="E46" s="24"/>
      <c r="F46" s="24" t="s">
        <v>507</v>
      </c>
      <c r="G46" s="31">
        <v>42101</v>
      </c>
      <c r="H46" s="29" t="s">
        <v>456</v>
      </c>
      <c r="I46" s="29" t="s">
        <v>457</v>
      </c>
      <c r="J46" s="29"/>
      <c r="K46" s="24" t="s">
        <v>489</v>
      </c>
      <c r="L46" s="24" t="s">
        <v>490</v>
      </c>
      <c r="M46" s="24">
        <v>100.46</v>
      </c>
      <c r="N46" s="24">
        <v>48.7</v>
      </c>
      <c r="O46" s="24"/>
      <c r="P46" s="25"/>
      <c r="Q46" s="24"/>
      <c r="R46" s="25"/>
      <c r="S46" s="24"/>
      <c r="T46" s="25"/>
      <c r="U46" s="24"/>
      <c r="V46" s="24"/>
      <c r="W46" s="24">
        <v>28.15</v>
      </c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 t="s">
        <v>508</v>
      </c>
      <c r="AR46" s="29" t="s">
        <v>457</v>
      </c>
      <c r="AS46" s="29"/>
      <c r="AT46" s="29"/>
      <c r="AU46" s="29"/>
      <c r="AV46" s="29"/>
      <c r="AW46" s="29"/>
      <c r="AX46" s="29"/>
      <c r="AY46" s="29"/>
      <c r="AZ46" s="29" t="s">
        <v>457</v>
      </c>
      <c r="BA46" s="24"/>
      <c r="BB46" s="29">
        <v>0</v>
      </c>
      <c r="BC46" s="29">
        <v>20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74" t="s">
        <v>174</v>
      </c>
      <c r="BN46" s="29">
        <v>24</v>
      </c>
      <c r="BO46" s="29" t="s">
        <v>457</v>
      </c>
      <c r="BP46" s="29"/>
      <c r="BQ46" s="29"/>
      <c r="BR46" s="29"/>
      <c r="BS46" s="30" t="s">
        <v>491</v>
      </c>
      <c r="BT46" s="30" t="s">
        <v>480</v>
      </c>
      <c r="BU46" s="29">
        <v>50</v>
      </c>
      <c r="BV46" s="29" t="s">
        <v>457</v>
      </c>
      <c r="BW46" s="29"/>
      <c r="BX46" s="24"/>
      <c r="BY46" t="s">
        <v>492</v>
      </c>
      <c r="BZ46" s="67" t="s">
        <v>39</v>
      </c>
    </row>
    <row r="47" spans="1:78" x14ac:dyDescent="0.15">
      <c r="A47" s="33">
        <v>4935</v>
      </c>
      <c r="B47" s="26">
        <v>42103</v>
      </c>
      <c r="C47" s="27" t="s">
        <v>453</v>
      </c>
      <c r="D47" s="68" t="s">
        <v>454</v>
      </c>
      <c r="E47" s="24"/>
      <c r="F47" s="24" t="s">
        <v>507</v>
      </c>
      <c r="G47" s="28">
        <v>42067</v>
      </c>
      <c r="H47" s="29" t="s">
        <v>456</v>
      </c>
      <c r="I47" s="29" t="s">
        <v>457</v>
      </c>
      <c r="J47" s="29"/>
      <c r="K47" s="68" t="s">
        <v>495</v>
      </c>
      <c r="L47" s="68" t="s">
        <v>496</v>
      </c>
      <c r="M47" s="24">
        <v>110.68</v>
      </c>
      <c r="N47" s="24">
        <v>38.020000000000003</v>
      </c>
      <c r="O47" s="24"/>
      <c r="P47" s="25"/>
      <c r="Q47" s="24"/>
      <c r="R47" s="25"/>
      <c r="S47" s="24"/>
      <c r="T47" s="24"/>
      <c r="U47" s="24"/>
      <c r="V47" s="24"/>
      <c r="W47" s="24">
        <v>28.03</v>
      </c>
      <c r="X47" s="24"/>
      <c r="Y47" s="24"/>
      <c r="Z47" s="24"/>
      <c r="AA47" s="24"/>
      <c r="AB47" s="24"/>
      <c r="AC47" s="24"/>
      <c r="AD47" s="24"/>
      <c r="AE47" s="24"/>
      <c r="AF47" s="24"/>
      <c r="AG47" s="25"/>
      <c r="AH47" s="24"/>
      <c r="AI47" s="24"/>
      <c r="AJ47" s="24"/>
      <c r="AK47" s="24"/>
      <c r="AL47" s="24"/>
      <c r="AM47" s="24"/>
      <c r="AN47" s="24"/>
      <c r="AO47" s="24"/>
      <c r="AP47" s="24"/>
      <c r="AQ47" s="24" t="s">
        <v>508</v>
      </c>
      <c r="AR47" s="29" t="s">
        <v>457</v>
      </c>
      <c r="AS47" s="29"/>
      <c r="AT47" s="29"/>
      <c r="AU47" s="29" t="s">
        <v>461</v>
      </c>
      <c r="AV47" s="29">
        <v>10.199999999999999</v>
      </c>
      <c r="AW47" s="29"/>
      <c r="AX47" s="29"/>
      <c r="AY47" s="29"/>
      <c r="AZ47" s="29" t="s">
        <v>462</v>
      </c>
      <c r="BA47" s="24"/>
      <c r="BB47" s="29">
        <v>0</v>
      </c>
      <c r="BC47" s="29">
        <v>0</v>
      </c>
      <c r="BD47" s="29">
        <v>12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457</v>
      </c>
      <c r="BN47" s="29"/>
      <c r="BO47" s="29" t="s">
        <v>457</v>
      </c>
      <c r="BP47" s="29"/>
      <c r="BQ47" s="29"/>
      <c r="BR47" s="29"/>
      <c r="BS47" s="24"/>
      <c r="BT47" s="24"/>
      <c r="BU47" s="29"/>
      <c r="BV47" s="29" t="s">
        <v>457</v>
      </c>
      <c r="BW47" s="29"/>
      <c r="BX47" s="68" t="s">
        <v>497</v>
      </c>
      <c r="BY47" t="s">
        <v>76</v>
      </c>
      <c r="BZ47" s="32" t="s">
        <v>77</v>
      </c>
    </row>
    <row r="48" spans="1:78" x14ac:dyDescent="0.15">
      <c r="A48" s="33">
        <v>4762</v>
      </c>
      <c r="B48" s="26">
        <v>42103</v>
      </c>
      <c r="C48" s="27" t="s">
        <v>453</v>
      </c>
      <c r="D48" s="68" t="s">
        <v>454</v>
      </c>
      <c r="E48" s="24"/>
      <c r="F48" s="24" t="s">
        <v>507</v>
      </c>
      <c r="G48" s="28">
        <v>42020</v>
      </c>
      <c r="H48" s="29" t="s">
        <v>175</v>
      </c>
      <c r="I48" s="29" t="s">
        <v>174</v>
      </c>
      <c r="J48" s="29"/>
      <c r="K48" s="24" t="s">
        <v>437</v>
      </c>
      <c r="L48" s="24" t="s">
        <v>498</v>
      </c>
      <c r="M48" s="24">
        <v>64.349999999999994</v>
      </c>
      <c r="N48" s="24">
        <v>37.36</v>
      </c>
      <c r="O48" s="24"/>
      <c r="P48" s="25"/>
      <c r="Q48" s="24"/>
      <c r="R48" s="25"/>
      <c r="S48" s="24"/>
      <c r="T48" s="25"/>
      <c r="U48" s="24"/>
      <c r="V48" s="24"/>
      <c r="W48" s="24">
        <v>30.96</v>
      </c>
      <c r="X48" s="25"/>
      <c r="Y48" s="24"/>
      <c r="Z48" s="25"/>
      <c r="AA48" s="24"/>
      <c r="AB48" s="25"/>
      <c r="AC48" s="24"/>
      <c r="AD48" s="24"/>
      <c r="AE48" s="24"/>
      <c r="AF48" s="24"/>
      <c r="AG48" s="25"/>
      <c r="AH48" s="24"/>
      <c r="AI48" s="24"/>
      <c r="AJ48" s="24"/>
      <c r="AK48" s="24"/>
      <c r="AL48" s="24"/>
      <c r="AM48" s="24"/>
      <c r="AN48" s="24"/>
      <c r="AO48" s="24"/>
      <c r="AP48" s="24"/>
      <c r="AQ48" s="24" t="s">
        <v>508</v>
      </c>
      <c r="AR48" s="29" t="s">
        <v>174</v>
      </c>
      <c r="AS48" s="29"/>
      <c r="AT48" s="29"/>
      <c r="AU48" s="29" t="s">
        <v>382</v>
      </c>
      <c r="AV48" s="29">
        <v>10</v>
      </c>
      <c r="AW48" s="29"/>
      <c r="AX48" s="29"/>
      <c r="AY48" s="29"/>
      <c r="AZ48" s="29" t="s">
        <v>174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457</v>
      </c>
      <c r="BN48" s="29"/>
      <c r="BO48" s="29" t="s">
        <v>457</v>
      </c>
      <c r="BP48" s="29"/>
      <c r="BQ48" s="29"/>
      <c r="BR48" s="29"/>
      <c r="BS48" s="30"/>
      <c r="BT48" s="30"/>
      <c r="BU48" s="29"/>
      <c r="BV48" s="29" t="s">
        <v>457</v>
      </c>
      <c r="BW48" s="29"/>
      <c r="BX48" s="24" t="s">
        <v>439</v>
      </c>
      <c r="BY48" t="s">
        <v>76</v>
      </c>
      <c r="BZ48" s="67" t="s">
        <v>77</v>
      </c>
    </row>
    <row r="49" spans="1:78" x14ac:dyDescent="0.15">
      <c r="A49" s="33">
        <v>4149</v>
      </c>
      <c r="B49" s="26">
        <v>42103</v>
      </c>
      <c r="C49" s="27" t="s">
        <v>453</v>
      </c>
      <c r="D49" s="68" t="s">
        <v>454</v>
      </c>
      <c r="E49" s="24"/>
      <c r="F49" s="24" t="s">
        <v>507</v>
      </c>
      <c r="G49" s="28">
        <v>41881</v>
      </c>
      <c r="H49" s="29" t="s">
        <v>456</v>
      </c>
      <c r="I49" s="29" t="s">
        <v>457</v>
      </c>
      <c r="J49" s="29"/>
      <c r="K49" s="24" t="s">
        <v>499</v>
      </c>
      <c r="L49" s="24" t="s">
        <v>451</v>
      </c>
      <c r="M49" s="24">
        <v>95</v>
      </c>
      <c r="N49" s="24">
        <v>41</v>
      </c>
      <c r="O49" s="24"/>
      <c r="P49" s="25"/>
      <c r="Q49" s="24"/>
      <c r="R49" s="25"/>
      <c r="S49" s="24"/>
      <c r="T49" s="25"/>
      <c r="U49" s="24"/>
      <c r="V49" s="24"/>
      <c r="W49" s="24">
        <v>32</v>
      </c>
      <c r="X49" s="24"/>
      <c r="Y49" s="24"/>
      <c r="Z49" s="24"/>
      <c r="AA49" s="24"/>
      <c r="AB49" s="24"/>
      <c r="AC49" s="24"/>
      <c r="AD49" s="24"/>
      <c r="AE49" s="24"/>
      <c r="AF49" s="24"/>
      <c r="AG49" s="25"/>
      <c r="AH49" s="24"/>
      <c r="AI49" s="24"/>
      <c r="AJ49" s="24"/>
      <c r="AK49" s="24"/>
      <c r="AL49" s="24"/>
      <c r="AM49" s="24"/>
      <c r="AN49" s="24"/>
      <c r="AO49" s="24"/>
      <c r="AP49" s="24"/>
      <c r="AQ49" s="24" t="s">
        <v>508</v>
      </c>
      <c r="AR49" s="29" t="s">
        <v>457</v>
      </c>
      <c r="AS49" s="29"/>
      <c r="AT49" s="29"/>
      <c r="AU49" s="29" t="s">
        <v>461</v>
      </c>
      <c r="AV49" s="29">
        <v>10</v>
      </c>
      <c r="AW49" s="29"/>
      <c r="AX49" s="29"/>
      <c r="AY49" s="29"/>
      <c r="AZ49" s="29" t="s">
        <v>462</v>
      </c>
      <c r="BA49" s="24"/>
      <c r="BB49" s="29">
        <v>0</v>
      </c>
      <c r="BC49" s="29">
        <v>0</v>
      </c>
      <c r="BD49" s="29">
        <v>7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>
        <v>24</v>
      </c>
      <c r="BM49" s="29" t="s">
        <v>457</v>
      </c>
      <c r="BN49" s="29"/>
      <c r="BO49" s="29" t="s">
        <v>457</v>
      </c>
      <c r="BP49" s="29"/>
      <c r="BQ49" s="29"/>
      <c r="BR49" s="29"/>
      <c r="BS49" s="24"/>
      <c r="BT49" s="24"/>
      <c r="BU49" s="29"/>
      <c r="BV49" s="29" t="s">
        <v>457</v>
      </c>
      <c r="BW49" s="29"/>
      <c r="BX49" s="24"/>
      <c r="BY49" s="66" t="s">
        <v>76</v>
      </c>
      <c r="BZ49" s="32" t="s">
        <v>77</v>
      </c>
    </row>
    <row r="50" spans="1:78" x14ac:dyDescent="0.15">
      <c r="A50" s="33">
        <v>4423</v>
      </c>
      <c r="B50" s="26">
        <v>42103</v>
      </c>
      <c r="C50" s="27" t="s">
        <v>453</v>
      </c>
      <c r="D50" s="68" t="s">
        <v>454</v>
      </c>
      <c r="E50" s="24"/>
      <c r="F50" s="24" t="s">
        <v>507</v>
      </c>
      <c r="G50" s="31">
        <v>42052</v>
      </c>
      <c r="H50" s="29" t="s">
        <v>175</v>
      </c>
      <c r="I50" s="29" t="s">
        <v>174</v>
      </c>
      <c r="J50" s="29"/>
      <c r="K50" s="24" t="s">
        <v>493</v>
      </c>
      <c r="L50" s="68" t="s">
        <v>446</v>
      </c>
      <c r="M50" s="81">
        <v>119.11818181818181</v>
      </c>
      <c r="N50" s="81">
        <v>42.227272727272727</v>
      </c>
      <c r="O50" s="24"/>
      <c r="P50" s="25"/>
      <c r="Q50" s="24"/>
      <c r="R50" s="25"/>
      <c r="S50" s="24"/>
      <c r="T50" s="25"/>
      <c r="U50" s="24"/>
      <c r="V50" s="24"/>
      <c r="W50" s="24">
        <v>25.99</v>
      </c>
      <c r="X50" s="25"/>
      <c r="Y50" s="24"/>
      <c r="Z50" s="25"/>
      <c r="AA50" s="24"/>
      <c r="AB50" s="25"/>
      <c r="AC50" s="24"/>
      <c r="AD50" s="24"/>
      <c r="AE50" s="24"/>
      <c r="AF50" s="24"/>
      <c r="AG50" s="25"/>
      <c r="AH50" s="24"/>
      <c r="AI50" s="24"/>
      <c r="AJ50" s="24"/>
      <c r="AK50" s="24"/>
      <c r="AL50" s="24"/>
      <c r="AM50" s="24"/>
      <c r="AN50" s="24"/>
      <c r="AO50" s="24"/>
      <c r="AP50" s="24"/>
      <c r="AQ50" s="24" t="s">
        <v>508</v>
      </c>
      <c r="AR50" s="29" t="s">
        <v>174</v>
      </c>
      <c r="AS50" s="29"/>
      <c r="AT50" s="29"/>
      <c r="AU50" s="74" t="s">
        <v>382</v>
      </c>
      <c r="AV50" s="29">
        <v>6.8</v>
      </c>
      <c r="AW50" s="29"/>
      <c r="AX50" s="29"/>
      <c r="AY50" s="29"/>
      <c r="AZ50" s="29" t="s">
        <v>457</v>
      </c>
      <c r="BA50" s="24"/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>
        <v>36</v>
      </c>
      <c r="BM50" s="29" t="s">
        <v>457</v>
      </c>
      <c r="BN50" s="29"/>
      <c r="BO50" s="29" t="s">
        <v>457</v>
      </c>
      <c r="BP50" s="29"/>
      <c r="BQ50" s="29"/>
      <c r="BR50" s="29"/>
      <c r="BS50" s="30"/>
      <c r="BT50" s="30"/>
      <c r="BU50" s="29"/>
      <c r="BV50" s="29" t="s">
        <v>457</v>
      </c>
      <c r="BW50" s="29"/>
      <c r="BX50" s="24" t="s">
        <v>494</v>
      </c>
      <c r="BY50" t="s">
        <v>76</v>
      </c>
      <c r="BZ50" s="32" t="s">
        <v>77</v>
      </c>
    </row>
  </sheetData>
  <sheetProtection algorithmName="SHA-512" hashValue="GfcY2wym4av5sDfzVRsH61jEvhCmUG9ko6BjrXNajsv5AnLVc6q94EageFh3YHdmKt7lvbDHjOjR6VOOLj/bbg==" saltValue="ZrM+0rjBTJA7yC0Ku1I28g==" spinCount="100000" sheet="1" objects="1" scenarios="1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81852-DC19-774A-9287-F2BB9DF1BC05}">
  <sheetPr codeName="Sheet13"/>
  <dimension ref="A1:BW46"/>
  <sheetViews>
    <sheetView zoomScaleNormal="100" zoomScalePageLayoutView="125" workbookViewId="0">
      <selection activeCell="BK47" sqref="BK47"/>
    </sheetView>
  </sheetViews>
  <sheetFormatPr baseColWidth="10" defaultRowHeight="13" x14ac:dyDescent="0.15"/>
  <cols>
    <col min="11" max="11" width="16.1640625" customWidth="1"/>
    <col min="12" max="12" width="19.5" customWidth="1"/>
    <col min="44" max="44" width="22.83203125" customWidth="1"/>
  </cols>
  <sheetData>
    <row r="1" spans="1:75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4" t="s">
        <v>420</v>
      </c>
      <c r="BP1" s="4" t="s">
        <v>421</v>
      </c>
      <c r="BQ1" s="2" t="s">
        <v>184</v>
      </c>
      <c r="BR1" s="2" t="s">
        <v>185</v>
      </c>
      <c r="BS1" s="4" t="s">
        <v>186</v>
      </c>
      <c r="BT1" s="4" t="s">
        <v>187</v>
      </c>
      <c r="BU1" s="2" t="s">
        <v>188</v>
      </c>
    </row>
    <row r="2" spans="1:75" x14ac:dyDescent="0.15">
      <c r="A2" s="33">
        <v>90</v>
      </c>
      <c r="B2" s="26">
        <v>41927</v>
      </c>
      <c r="C2" s="27" t="s">
        <v>92</v>
      </c>
      <c r="D2" s="24" t="s">
        <v>11</v>
      </c>
      <c r="E2" s="24"/>
      <c r="F2" s="24" t="s">
        <v>33</v>
      </c>
      <c r="G2" s="28">
        <v>41851</v>
      </c>
      <c r="H2" s="29" t="s">
        <v>46</v>
      </c>
      <c r="I2" s="29" t="s">
        <v>8</v>
      </c>
      <c r="J2" s="29"/>
      <c r="K2" s="24" t="s">
        <v>80</v>
      </c>
      <c r="L2" s="24" t="s">
        <v>98</v>
      </c>
      <c r="M2" s="24">
        <v>91</v>
      </c>
      <c r="N2" s="24">
        <v>42.9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36</v>
      </c>
      <c r="AS2" s="29" t="s">
        <v>174</v>
      </c>
      <c r="AT2" s="29"/>
      <c r="AU2" s="29"/>
      <c r="AV2" s="29" t="s">
        <v>37</v>
      </c>
      <c r="AW2" s="29">
        <v>16.3</v>
      </c>
      <c r="AX2" s="29" t="s">
        <v>103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8</v>
      </c>
      <c r="BL2" s="29">
        <v>24</v>
      </c>
      <c r="BM2" s="29" t="s">
        <v>8</v>
      </c>
      <c r="BN2" s="29"/>
      <c r="BO2" s="29"/>
      <c r="BP2" s="29"/>
      <c r="BQ2" s="30"/>
      <c r="BR2" s="30"/>
      <c r="BS2" s="29"/>
      <c r="BT2" s="29" t="s">
        <v>8</v>
      </c>
      <c r="BU2" s="24"/>
      <c r="BV2" s="66" t="s">
        <v>76</v>
      </c>
      <c r="BW2" s="67" t="s">
        <v>77</v>
      </c>
    </row>
    <row r="3" spans="1:75" x14ac:dyDescent="0.15">
      <c r="A3" s="33">
        <v>2589</v>
      </c>
      <c r="B3" s="26">
        <v>41927</v>
      </c>
      <c r="C3" s="27" t="s">
        <v>92</v>
      </c>
      <c r="D3" s="24" t="s">
        <v>11</v>
      </c>
      <c r="E3" s="24"/>
      <c r="F3" s="24" t="s">
        <v>33</v>
      </c>
      <c r="G3" s="31">
        <v>41865</v>
      </c>
      <c r="H3" s="29" t="s">
        <v>8</v>
      </c>
      <c r="I3" s="29" t="s">
        <v>96</v>
      </c>
      <c r="J3" s="29"/>
      <c r="K3" s="24" t="s">
        <v>110</v>
      </c>
      <c r="L3" s="24" t="s">
        <v>327</v>
      </c>
      <c r="M3" s="24">
        <v>90.5</v>
      </c>
      <c r="N3" s="24">
        <v>44.79</v>
      </c>
      <c r="O3" s="24" t="s">
        <v>3</v>
      </c>
      <c r="P3" s="25">
        <v>2500</v>
      </c>
      <c r="Q3" s="24">
        <v>44.79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36</v>
      </c>
      <c r="AS3" s="29" t="s">
        <v>8</v>
      </c>
      <c r="AT3" s="29"/>
      <c r="AU3" s="29"/>
      <c r="AV3" s="29" t="s">
        <v>37</v>
      </c>
      <c r="AW3" s="29">
        <v>9.5</v>
      </c>
      <c r="AX3" s="29" t="s">
        <v>8</v>
      </c>
      <c r="AY3" s="24"/>
      <c r="AZ3" s="29">
        <v>0</v>
      </c>
      <c r="BA3" s="29">
        <v>0</v>
      </c>
      <c r="BB3" s="29">
        <v>0</v>
      </c>
      <c r="BC3" s="29">
        <v>28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8</v>
      </c>
      <c r="BL3" s="29">
        <v>24</v>
      </c>
      <c r="BM3" s="29" t="s">
        <v>8</v>
      </c>
      <c r="BN3" s="29"/>
      <c r="BO3" s="29"/>
      <c r="BP3" s="29"/>
      <c r="BQ3" s="24"/>
      <c r="BR3" s="24"/>
      <c r="BS3" s="29"/>
      <c r="BT3" s="29" t="s">
        <v>8</v>
      </c>
      <c r="BU3" s="24"/>
      <c r="BV3" s="66" t="s">
        <v>76</v>
      </c>
      <c r="BW3" s="67" t="s">
        <v>77</v>
      </c>
    </row>
    <row r="4" spans="1:75" x14ac:dyDescent="0.15">
      <c r="A4" s="33">
        <v>4052</v>
      </c>
      <c r="B4" s="26">
        <v>41927</v>
      </c>
      <c r="C4" s="27" t="s">
        <v>92</v>
      </c>
      <c r="D4" s="24" t="s">
        <v>11</v>
      </c>
      <c r="E4" s="24"/>
      <c r="F4" s="24" t="s">
        <v>33</v>
      </c>
      <c r="G4" s="28">
        <v>41880</v>
      </c>
      <c r="H4" s="29" t="s">
        <v>175</v>
      </c>
      <c r="I4" s="29" t="s">
        <v>174</v>
      </c>
      <c r="J4" s="29"/>
      <c r="K4" s="24" t="s">
        <v>118</v>
      </c>
      <c r="L4" s="24" t="s">
        <v>444</v>
      </c>
      <c r="M4" s="24">
        <v>82.5</v>
      </c>
      <c r="N4" s="24">
        <v>46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36</v>
      </c>
      <c r="AS4" s="29" t="s">
        <v>8</v>
      </c>
      <c r="AT4" s="29"/>
      <c r="AU4" s="29"/>
      <c r="AV4" s="29" t="s">
        <v>382</v>
      </c>
      <c r="AW4" s="29">
        <v>10</v>
      </c>
      <c r="AX4" s="29" t="s">
        <v>8</v>
      </c>
      <c r="AY4" s="24"/>
      <c r="AZ4" s="29">
        <v>0</v>
      </c>
      <c r="BA4" s="29">
        <v>0</v>
      </c>
      <c r="BB4" s="29">
        <v>16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8</v>
      </c>
      <c r="BL4" s="29"/>
      <c r="BM4" s="29" t="s">
        <v>8</v>
      </c>
      <c r="BN4" s="29"/>
      <c r="BO4" s="29"/>
      <c r="BP4" s="29"/>
      <c r="BQ4" s="30"/>
      <c r="BR4" s="30"/>
      <c r="BS4" s="29"/>
      <c r="BT4" s="29" t="s">
        <v>8</v>
      </c>
      <c r="BU4" s="24" t="s">
        <v>120</v>
      </c>
      <c r="BV4" s="66" t="s">
        <v>76</v>
      </c>
      <c r="BW4" s="32" t="s">
        <v>77</v>
      </c>
    </row>
    <row r="5" spans="1:75" x14ac:dyDescent="0.15">
      <c r="A5" s="33">
        <v>242</v>
      </c>
      <c r="B5" s="26">
        <v>41927</v>
      </c>
      <c r="C5" s="27" t="s">
        <v>92</v>
      </c>
      <c r="D5" s="24" t="s">
        <v>11</v>
      </c>
      <c r="E5" s="24"/>
      <c r="F5" s="24" t="s">
        <v>33</v>
      </c>
      <c r="G5" s="28">
        <v>41847</v>
      </c>
      <c r="H5" s="29" t="s">
        <v>46</v>
      </c>
      <c r="I5" s="29" t="s">
        <v>8</v>
      </c>
      <c r="J5" s="29"/>
      <c r="K5" s="24" t="s">
        <v>124</v>
      </c>
      <c r="L5" s="24" t="s">
        <v>125</v>
      </c>
      <c r="M5" s="24">
        <v>89.5</v>
      </c>
      <c r="N5" s="24">
        <v>43.95</v>
      </c>
      <c r="O5" s="24"/>
      <c r="P5" s="25"/>
      <c r="Q5" s="24"/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36</v>
      </c>
      <c r="AS5" s="29" t="s">
        <v>8</v>
      </c>
      <c r="AT5" s="29"/>
      <c r="AU5" s="29"/>
      <c r="AV5" s="29" t="s">
        <v>37</v>
      </c>
      <c r="AW5" s="29">
        <v>11.6</v>
      </c>
      <c r="AX5" s="29" t="s">
        <v>8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8</v>
      </c>
      <c r="BL5" s="29"/>
      <c r="BM5" s="29" t="s">
        <v>8</v>
      </c>
      <c r="BN5" s="29"/>
      <c r="BO5" s="29"/>
      <c r="BP5" s="29"/>
      <c r="BQ5" s="30" t="s">
        <v>127</v>
      </c>
      <c r="BR5" s="24"/>
      <c r="BS5" s="29"/>
      <c r="BT5" s="29" t="s">
        <v>8</v>
      </c>
      <c r="BU5" s="24"/>
      <c r="BV5" t="s">
        <v>424</v>
      </c>
      <c r="BW5" s="32" t="s">
        <v>32</v>
      </c>
    </row>
    <row r="6" spans="1:75" x14ac:dyDescent="0.15">
      <c r="A6" s="33">
        <v>396</v>
      </c>
      <c r="B6" s="26">
        <v>41927</v>
      </c>
      <c r="C6" s="27" t="s">
        <v>92</v>
      </c>
      <c r="D6" s="24" t="s">
        <v>11</v>
      </c>
      <c r="E6" s="24"/>
      <c r="F6" s="24" t="s">
        <v>33</v>
      </c>
      <c r="G6" s="28">
        <v>41820</v>
      </c>
      <c r="H6" s="29" t="s">
        <v>46</v>
      </c>
      <c r="I6" s="29" t="s">
        <v>8</v>
      </c>
      <c r="J6" s="29"/>
      <c r="K6" s="24" t="s">
        <v>130</v>
      </c>
      <c r="L6" s="24" t="s">
        <v>131</v>
      </c>
      <c r="M6" s="24">
        <v>99.5</v>
      </c>
      <c r="N6" s="24">
        <v>38.9</v>
      </c>
      <c r="O6" s="24" t="s">
        <v>3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36</v>
      </c>
      <c r="AS6" s="29" t="s">
        <v>8</v>
      </c>
      <c r="AT6" s="29"/>
      <c r="AU6" s="29"/>
      <c r="AV6" s="29" t="s">
        <v>37</v>
      </c>
      <c r="AW6" s="29">
        <v>12</v>
      </c>
      <c r="AX6" s="29" t="s">
        <v>103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46</v>
      </c>
      <c r="BL6" s="29"/>
      <c r="BM6" s="29" t="s">
        <v>8</v>
      </c>
      <c r="BN6" s="29"/>
      <c r="BO6" s="29"/>
      <c r="BP6" s="29"/>
      <c r="BQ6" s="24"/>
      <c r="BR6" s="24"/>
      <c r="BS6" s="29"/>
      <c r="BT6" s="29" t="s">
        <v>8</v>
      </c>
      <c r="BU6" s="24" t="s">
        <v>136</v>
      </c>
      <c r="BV6" t="s">
        <v>445</v>
      </c>
      <c r="BW6" s="32" t="s">
        <v>77</v>
      </c>
    </row>
    <row r="7" spans="1:75" x14ac:dyDescent="0.15">
      <c r="A7" s="33">
        <v>574</v>
      </c>
      <c r="B7" s="26">
        <v>41927</v>
      </c>
      <c r="C7" s="27" t="s">
        <v>92</v>
      </c>
      <c r="D7" s="24" t="s">
        <v>11</v>
      </c>
      <c r="E7" s="24"/>
      <c r="F7" s="24" t="s">
        <v>33</v>
      </c>
      <c r="G7" s="28">
        <v>41880</v>
      </c>
      <c r="H7" s="29" t="s">
        <v>46</v>
      </c>
      <c r="I7" s="29" t="s">
        <v>8</v>
      </c>
      <c r="J7" s="29"/>
      <c r="K7" s="24" t="s">
        <v>24</v>
      </c>
      <c r="L7" s="24" t="s">
        <v>35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36</v>
      </c>
      <c r="AS7" s="29" t="s">
        <v>8</v>
      </c>
      <c r="AT7" s="29"/>
      <c r="AU7" s="29"/>
      <c r="AV7" s="29" t="s">
        <v>37</v>
      </c>
      <c r="AW7" s="29">
        <v>15</v>
      </c>
      <c r="AX7" s="29" t="s">
        <v>103</v>
      </c>
      <c r="AY7" s="24"/>
      <c r="AZ7" s="29">
        <v>0</v>
      </c>
      <c r="BA7" s="29">
        <v>18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46</v>
      </c>
      <c r="BL7" s="29"/>
      <c r="BM7" s="29" t="s">
        <v>8</v>
      </c>
      <c r="BN7" s="29"/>
      <c r="BO7" s="29"/>
      <c r="BP7" s="29"/>
      <c r="BQ7" s="24"/>
      <c r="BR7" s="24"/>
      <c r="BS7" s="29"/>
      <c r="BT7" s="29" t="s">
        <v>8</v>
      </c>
      <c r="BU7" s="24"/>
      <c r="BV7" s="66" t="s">
        <v>76</v>
      </c>
      <c r="BW7" s="67" t="s">
        <v>77</v>
      </c>
    </row>
    <row r="8" spans="1:75" x14ac:dyDescent="0.15">
      <c r="A8" s="33">
        <v>3065</v>
      </c>
      <c r="B8" s="26">
        <v>41927</v>
      </c>
      <c r="C8" s="27" t="s">
        <v>92</v>
      </c>
      <c r="D8" s="24" t="s">
        <v>11</v>
      </c>
      <c r="E8" s="24"/>
      <c r="F8" s="24" t="s">
        <v>33</v>
      </c>
      <c r="G8" s="28">
        <v>41912</v>
      </c>
      <c r="H8" s="29" t="s">
        <v>46</v>
      </c>
      <c r="I8" s="29" t="s">
        <v>8</v>
      </c>
      <c r="J8" s="29"/>
      <c r="K8" s="24" t="s">
        <v>302</v>
      </c>
      <c r="L8" s="24" t="s">
        <v>359</v>
      </c>
      <c r="M8" s="24">
        <v>86.36</v>
      </c>
      <c r="N8" s="24">
        <v>33.299999999999997</v>
      </c>
      <c r="O8" s="24" t="s">
        <v>3</v>
      </c>
      <c r="P8" s="25">
        <v>2500</v>
      </c>
      <c r="Q8" s="24">
        <v>35</v>
      </c>
      <c r="R8" s="25"/>
      <c r="S8" s="24"/>
      <c r="T8" s="25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 t="s">
        <v>36</v>
      </c>
      <c r="AS8" s="29" t="s">
        <v>8</v>
      </c>
      <c r="AT8" s="29"/>
      <c r="AU8" s="29"/>
      <c r="AV8" s="29" t="s">
        <v>37</v>
      </c>
      <c r="AW8" s="29">
        <v>16</v>
      </c>
      <c r="AX8" s="29" t="s">
        <v>361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8</v>
      </c>
      <c r="BL8" s="29"/>
      <c r="BM8" s="29" t="s">
        <v>8</v>
      </c>
      <c r="BN8" s="29"/>
      <c r="BO8" s="29"/>
      <c r="BP8" s="29"/>
      <c r="BQ8" s="24"/>
      <c r="BR8" s="24"/>
      <c r="BS8" s="29"/>
      <c r="BT8" s="29" t="s">
        <v>8</v>
      </c>
      <c r="BU8" s="24"/>
      <c r="BV8" t="s">
        <v>76</v>
      </c>
      <c r="BW8" s="32" t="s">
        <v>39</v>
      </c>
    </row>
    <row r="9" spans="1:75" x14ac:dyDescent="0.15">
      <c r="A9" s="33">
        <v>923</v>
      </c>
      <c r="B9" s="26">
        <v>41927</v>
      </c>
      <c r="C9" s="27" t="s">
        <v>92</v>
      </c>
      <c r="D9" s="24" t="s">
        <v>11</v>
      </c>
      <c r="E9" s="24"/>
      <c r="F9" s="24" t="s">
        <v>33</v>
      </c>
      <c r="G9" s="28">
        <v>41881</v>
      </c>
      <c r="H9" s="29" t="s">
        <v>46</v>
      </c>
      <c r="I9" s="29" t="s">
        <v>8</v>
      </c>
      <c r="J9" s="29"/>
      <c r="K9" s="24" t="s">
        <v>53</v>
      </c>
      <c r="L9" s="24" t="s">
        <v>54</v>
      </c>
      <c r="M9" s="24">
        <v>97.89</v>
      </c>
      <c r="N9" s="24">
        <v>39.71</v>
      </c>
      <c r="O9" s="24" t="s">
        <v>3</v>
      </c>
      <c r="P9" s="25">
        <v>1200</v>
      </c>
      <c r="Q9" s="24">
        <v>39.71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36</v>
      </c>
      <c r="AS9" s="29" t="s">
        <v>8</v>
      </c>
      <c r="AT9" s="29"/>
      <c r="AU9" s="29"/>
      <c r="AV9" s="29" t="s">
        <v>37</v>
      </c>
      <c r="AW9" s="29">
        <v>6.8</v>
      </c>
      <c r="AX9" s="29" t="s">
        <v>8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12</v>
      </c>
      <c r="BK9" s="29" t="s">
        <v>46</v>
      </c>
      <c r="BL9" s="29"/>
      <c r="BM9" s="29" t="s">
        <v>8</v>
      </c>
      <c r="BN9" s="29"/>
      <c r="BO9" s="29"/>
      <c r="BP9" s="29"/>
      <c r="BQ9" s="24"/>
      <c r="BR9" s="24"/>
      <c r="BS9" s="29"/>
      <c r="BT9" s="29" t="s">
        <v>8</v>
      </c>
      <c r="BU9" s="24" t="s">
        <v>56</v>
      </c>
      <c r="BV9" s="66" t="s">
        <v>76</v>
      </c>
      <c r="BW9" s="67" t="s">
        <v>77</v>
      </c>
    </row>
    <row r="10" spans="1:75" x14ac:dyDescent="0.15">
      <c r="A10" s="33">
        <v>1150</v>
      </c>
      <c r="B10" s="26">
        <v>41927</v>
      </c>
      <c r="C10" s="27" t="s">
        <v>92</v>
      </c>
      <c r="D10" s="24" t="s">
        <v>11</v>
      </c>
      <c r="E10" s="24"/>
      <c r="F10" s="24" t="s">
        <v>33</v>
      </c>
      <c r="G10" s="28">
        <v>41914</v>
      </c>
      <c r="H10" s="29" t="s">
        <v>46</v>
      </c>
      <c r="I10" s="29" t="s">
        <v>8</v>
      </c>
      <c r="J10" s="29"/>
      <c r="K10" s="24" t="s">
        <v>10</v>
      </c>
      <c r="L10" s="24" t="s">
        <v>60</v>
      </c>
      <c r="M10" s="24">
        <v>89.68</v>
      </c>
      <c r="N10" s="24">
        <v>39.770000000000003</v>
      </c>
      <c r="O10" s="24"/>
      <c r="P10" s="25"/>
      <c r="Q10" s="24"/>
      <c r="R10" s="25"/>
      <c r="S10" s="24"/>
      <c r="T10" s="25"/>
      <c r="U10" s="24"/>
      <c r="V10" s="24"/>
      <c r="W10" s="24"/>
      <c r="X10" s="24"/>
      <c r="Y10" s="24"/>
      <c r="Z10" s="25"/>
      <c r="AA10" s="24"/>
      <c r="AB10" s="25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36</v>
      </c>
      <c r="AS10" s="29" t="s">
        <v>8</v>
      </c>
      <c r="AT10" s="29"/>
      <c r="AU10" s="29"/>
      <c r="AV10" s="29" t="s">
        <v>37</v>
      </c>
      <c r="AW10" s="29">
        <v>10</v>
      </c>
      <c r="AX10" s="29" t="s">
        <v>103</v>
      </c>
      <c r="AY10" s="24"/>
      <c r="AZ10" s="29">
        <v>0</v>
      </c>
      <c r="BA10" s="29">
        <v>16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46</v>
      </c>
      <c r="BL10" s="29"/>
      <c r="BM10" s="29" t="s">
        <v>8</v>
      </c>
      <c r="BN10" s="29"/>
      <c r="BO10" s="29"/>
      <c r="BP10" s="29"/>
      <c r="BQ10" s="24"/>
      <c r="BR10" s="24"/>
      <c r="BS10" s="29"/>
      <c r="BT10" s="29" t="s">
        <v>8</v>
      </c>
      <c r="BU10" s="30" t="s">
        <v>61</v>
      </c>
      <c r="BV10" s="66" t="s">
        <v>76</v>
      </c>
      <c r="BW10" s="32" t="s">
        <v>39</v>
      </c>
    </row>
    <row r="11" spans="1:75" x14ac:dyDescent="0.15">
      <c r="A11" s="33">
        <v>3825</v>
      </c>
      <c r="B11" s="26">
        <v>41927</v>
      </c>
      <c r="C11" s="27" t="s">
        <v>92</v>
      </c>
      <c r="D11" s="24" t="s">
        <v>11</v>
      </c>
      <c r="E11" s="24"/>
      <c r="F11" s="24" t="s">
        <v>33</v>
      </c>
      <c r="G11" s="28">
        <v>41867</v>
      </c>
      <c r="H11" s="29" t="s">
        <v>46</v>
      </c>
      <c r="I11" s="29" t="s">
        <v>8</v>
      </c>
      <c r="J11" s="29"/>
      <c r="K11" s="24" t="s">
        <v>64</v>
      </c>
      <c r="L11" s="24" t="s">
        <v>446</v>
      </c>
      <c r="M11" s="24">
        <v>91</v>
      </c>
      <c r="N11" s="24">
        <v>42.9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 t="s">
        <v>36</v>
      </c>
      <c r="AS11" s="29" t="s">
        <v>8</v>
      </c>
      <c r="AT11" s="29"/>
      <c r="AU11" s="29"/>
      <c r="AV11" s="29" t="s">
        <v>37</v>
      </c>
      <c r="AW11" s="29">
        <v>16.3</v>
      </c>
      <c r="AX11" s="29" t="s">
        <v>103</v>
      </c>
      <c r="AY11" s="24"/>
      <c r="AZ11" s="29">
        <v>0</v>
      </c>
      <c r="BA11" s="29">
        <v>16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/>
      <c r="BK11" s="29" t="s">
        <v>8</v>
      </c>
      <c r="BL11" s="29">
        <v>24</v>
      </c>
      <c r="BM11" s="29" t="s">
        <v>8</v>
      </c>
      <c r="BN11" s="29"/>
      <c r="BO11" s="29"/>
      <c r="BP11" s="29"/>
      <c r="BQ11" s="30"/>
      <c r="BR11" s="30"/>
      <c r="BS11" s="29"/>
      <c r="BT11" s="29" t="s">
        <v>8</v>
      </c>
      <c r="BU11" s="24"/>
      <c r="BV11" t="s">
        <v>76</v>
      </c>
      <c r="BW11" s="32" t="s">
        <v>32</v>
      </c>
    </row>
    <row r="12" spans="1:75" x14ac:dyDescent="0.15">
      <c r="A12" s="33">
        <v>1480</v>
      </c>
      <c r="B12" s="26">
        <v>41927</v>
      </c>
      <c r="C12" s="27" t="s">
        <v>92</v>
      </c>
      <c r="D12" s="24" t="s">
        <v>11</v>
      </c>
      <c r="E12" s="24"/>
      <c r="F12" s="24" t="s">
        <v>33</v>
      </c>
      <c r="G12" s="28">
        <v>41912</v>
      </c>
      <c r="H12" s="29" t="s">
        <v>46</v>
      </c>
      <c r="I12" s="29" t="s">
        <v>8</v>
      </c>
      <c r="J12" s="29"/>
      <c r="K12" s="24" t="s">
        <v>68</v>
      </c>
      <c r="L12" s="24" t="s">
        <v>429</v>
      </c>
      <c r="M12" s="24">
        <v>100.5</v>
      </c>
      <c r="N12" s="24">
        <v>39.9</v>
      </c>
      <c r="O12" s="24" t="s">
        <v>3</v>
      </c>
      <c r="P12" s="25">
        <v>2500</v>
      </c>
      <c r="Q12" s="24">
        <v>42</v>
      </c>
      <c r="R12" s="25"/>
      <c r="S12" s="24"/>
      <c r="T12" s="25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 t="s">
        <v>36</v>
      </c>
      <c r="AS12" s="29" t="s">
        <v>8</v>
      </c>
      <c r="AT12" s="29"/>
      <c r="AU12" s="29"/>
      <c r="AV12" s="29" t="s">
        <v>37</v>
      </c>
      <c r="AW12" s="29">
        <v>16</v>
      </c>
      <c r="AX12" s="29" t="s">
        <v>103</v>
      </c>
      <c r="AY12" s="24"/>
      <c r="AZ12" s="29">
        <v>0</v>
      </c>
      <c r="BA12" s="29">
        <v>0</v>
      </c>
      <c r="BB12" s="29">
        <v>10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8</v>
      </c>
      <c r="BL12" s="29"/>
      <c r="BM12" s="29" t="s">
        <v>8</v>
      </c>
      <c r="BN12" s="29"/>
      <c r="BO12" s="29"/>
      <c r="BP12" s="29"/>
      <c r="BQ12" s="24"/>
      <c r="BR12" s="24"/>
      <c r="BS12" s="29"/>
      <c r="BT12" s="29" t="s">
        <v>8</v>
      </c>
      <c r="BU12" s="24"/>
      <c r="BV12" t="s">
        <v>76</v>
      </c>
      <c r="BW12" s="67" t="s">
        <v>39</v>
      </c>
    </row>
    <row r="13" spans="1:75" x14ac:dyDescent="0.15">
      <c r="A13" s="33">
        <v>2137</v>
      </c>
      <c r="B13" s="26">
        <v>41927</v>
      </c>
      <c r="C13" s="27" t="s">
        <v>92</v>
      </c>
      <c r="D13" s="24" t="s">
        <v>11</v>
      </c>
      <c r="E13" s="24"/>
      <c r="F13" s="24" t="s">
        <v>33</v>
      </c>
      <c r="G13" s="31">
        <v>41921</v>
      </c>
      <c r="H13" s="29" t="s">
        <v>46</v>
      </c>
      <c r="I13" s="29" t="s">
        <v>8</v>
      </c>
      <c r="J13" s="29"/>
      <c r="K13" s="24" t="s">
        <v>72</v>
      </c>
      <c r="L13" s="24" t="s">
        <v>447</v>
      </c>
      <c r="M13" s="24">
        <v>86.38</v>
      </c>
      <c r="N13" s="24">
        <v>40.340000000000003</v>
      </c>
      <c r="O13" s="24"/>
      <c r="P13" s="25"/>
      <c r="Q13" s="24"/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36</v>
      </c>
      <c r="AS13" s="29" t="s">
        <v>8</v>
      </c>
      <c r="AT13" s="29"/>
      <c r="AU13" s="29"/>
      <c r="AV13" s="29" t="s">
        <v>37</v>
      </c>
      <c r="AW13" s="29">
        <v>10</v>
      </c>
      <c r="AX13" s="29" t="s">
        <v>8</v>
      </c>
      <c r="AY13" s="24"/>
      <c r="AZ13" s="29">
        <v>0</v>
      </c>
      <c r="BA13" s="29">
        <v>15</v>
      </c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/>
      <c r="BK13" s="74" t="s">
        <v>174</v>
      </c>
      <c r="BL13" s="29">
        <v>24</v>
      </c>
      <c r="BM13" s="29" t="s">
        <v>8</v>
      </c>
      <c r="BN13" s="29"/>
      <c r="BO13" s="29"/>
      <c r="BP13" s="29"/>
      <c r="BQ13" s="30" t="s">
        <v>15</v>
      </c>
      <c r="BR13" s="30" t="s">
        <v>75</v>
      </c>
      <c r="BS13" s="29">
        <v>50</v>
      </c>
      <c r="BT13" s="29" t="s">
        <v>8</v>
      </c>
      <c r="BU13" s="24"/>
      <c r="BV13" t="s">
        <v>16</v>
      </c>
      <c r="BW13" s="67" t="s">
        <v>39</v>
      </c>
    </row>
    <row r="14" spans="1:75" x14ac:dyDescent="0.15">
      <c r="A14" s="33">
        <v>3330</v>
      </c>
      <c r="B14" s="26">
        <v>41927</v>
      </c>
      <c r="C14" s="27" t="s">
        <v>92</v>
      </c>
      <c r="D14" s="24" t="s">
        <v>11</v>
      </c>
      <c r="E14" s="24"/>
      <c r="F14" s="24" t="s">
        <v>33</v>
      </c>
      <c r="G14" s="31">
        <v>41817</v>
      </c>
      <c r="H14" s="29" t="s">
        <v>8</v>
      </c>
      <c r="I14" s="29" t="s">
        <v>96</v>
      </c>
      <c r="J14" s="29"/>
      <c r="K14" s="24" t="s">
        <v>431</v>
      </c>
      <c r="L14" s="68" t="s">
        <v>432</v>
      </c>
      <c r="M14" s="24">
        <v>111</v>
      </c>
      <c r="N14" s="24">
        <v>34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36</v>
      </c>
      <c r="AS14" s="29" t="s">
        <v>8</v>
      </c>
      <c r="AT14" s="29"/>
      <c r="AU14" s="29"/>
      <c r="AV14" s="29"/>
      <c r="AW14" s="29"/>
      <c r="AX14" s="29" t="s">
        <v>8</v>
      </c>
      <c r="AY14" s="24"/>
      <c r="AZ14" s="29">
        <v>0</v>
      </c>
      <c r="BA14" s="29">
        <v>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36</v>
      </c>
      <c r="BK14" s="29" t="s">
        <v>8</v>
      </c>
      <c r="BL14" s="29"/>
      <c r="BM14" s="29" t="s">
        <v>8</v>
      </c>
      <c r="BN14" s="29"/>
      <c r="BO14" s="29"/>
      <c r="BP14" s="29"/>
      <c r="BQ14" s="30"/>
      <c r="BR14" s="30"/>
      <c r="BS14" s="29"/>
      <c r="BT14" s="29" t="s">
        <v>8</v>
      </c>
      <c r="BU14" s="24" t="s">
        <v>433</v>
      </c>
      <c r="BV14" t="s">
        <v>76</v>
      </c>
      <c r="BW14" s="32" t="s">
        <v>77</v>
      </c>
    </row>
    <row r="15" spans="1:75" x14ac:dyDescent="0.15">
      <c r="A15" s="33">
        <v>3580</v>
      </c>
      <c r="B15" s="26">
        <v>41927</v>
      </c>
      <c r="C15" s="27" t="s">
        <v>92</v>
      </c>
      <c r="D15" s="24" t="s">
        <v>11</v>
      </c>
      <c r="E15" s="24"/>
      <c r="F15" s="24" t="s">
        <v>33</v>
      </c>
      <c r="G15" s="28">
        <v>41801</v>
      </c>
      <c r="H15" s="29" t="s">
        <v>8</v>
      </c>
      <c r="I15" s="29" t="s">
        <v>96</v>
      </c>
      <c r="J15" s="29"/>
      <c r="K15" s="24" t="s">
        <v>434</v>
      </c>
      <c r="L15" s="68" t="s">
        <v>448</v>
      </c>
      <c r="M15" s="24">
        <v>80</v>
      </c>
      <c r="N15" s="24">
        <v>31.68</v>
      </c>
      <c r="O15" s="24"/>
      <c r="P15" s="25"/>
      <c r="Q15" s="24"/>
      <c r="R15" s="25"/>
      <c r="S15" s="24"/>
      <c r="T15" s="25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 t="s">
        <v>36</v>
      </c>
      <c r="AS15" s="29" t="s">
        <v>8</v>
      </c>
      <c r="AT15" s="29"/>
      <c r="AU15" s="29"/>
      <c r="AV15" s="29"/>
      <c r="AW15" s="29"/>
      <c r="AX15" s="29" t="s">
        <v>103</v>
      </c>
      <c r="AY15" s="24"/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24</v>
      </c>
      <c r="BK15" s="29" t="s">
        <v>46</v>
      </c>
      <c r="BL15" s="29"/>
      <c r="BM15" s="29" t="s">
        <v>8</v>
      </c>
      <c r="BN15" s="29"/>
      <c r="BO15" s="29"/>
      <c r="BP15" s="29"/>
      <c r="BQ15" s="30"/>
      <c r="BR15" s="30"/>
      <c r="BS15" s="30"/>
      <c r="BT15" s="29" t="s">
        <v>8</v>
      </c>
      <c r="BU15" s="24" t="s">
        <v>449</v>
      </c>
      <c r="BV15" s="66" t="s">
        <v>76</v>
      </c>
      <c r="BW15" s="67" t="s">
        <v>77</v>
      </c>
    </row>
    <row r="16" spans="1:75" x14ac:dyDescent="0.15">
      <c r="A16" s="33">
        <v>3117</v>
      </c>
      <c r="B16" s="26">
        <v>41927</v>
      </c>
      <c r="C16" s="27" t="s">
        <v>92</v>
      </c>
      <c r="D16" s="24" t="s">
        <v>11</v>
      </c>
      <c r="E16" s="24"/>
      <c r="F16" s="24" t="s">
        <v>33</v>
      </c>
      <c r="G16" s="28">
        <v>41880</v>
      </c>
      <c r="H16" s="29" t="s">
        <v>175</v>
      </c>
      <c r="I16" s="29" t="s">
        <v>174</v>
      </c>
      <c r="J16" s="29"/>
      <c r="K16" s="24" t="s">
        <v>437</v>
      </c>
      <c r="L16" s="24" t="s">
        <v>438</v>
      </c>
      <c r="M16" s="24">
        <v>82.5</v>
      </c>
      <c r="N16" s="24">
        <v>46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5"/>
      <c r="AC16" s="24"/>
      <c r="AD16" s="24"/>
      <c r="AE16" s="24"/>
      <c r="AF16" s="24"/>
      <c r="AG16" s="25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36</v>
      </c>
      <c r="AS16" s="29" t="s">
        <v>174</v>
      </c>
      <c r="AT16" s="29"/>
      <c r="AU16" s="29"/>
      <c r="AV16" s="29" t="s">
        <v>382</v>
      </c>
      <c r="AW16" s="29">
        <v>10</v>
      </c>
      <c r="AX16" s="29" t="s">
        <v>174</v>
      </c>
      <c r="AY16" s="24"/>
      <c r="AZ16" s="29">
        <v>0</v>
      </c>
      <c r="BA16" s="29">
        <v>0</v>
      </c>
      <c r="BB16" s="29">
        <v>16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/>
      <c r="BK16" s="29" t="s">
        <v>8</v>
      </c>
      <c r="BL16" s="29"/>
      <c r="BM16" s="29" t="s">
        <v>8</v>
      </c>
      <c r="BN16" s="29"/>
      <c r="BO16" s="29"/>
      <c r="BP16" s="29"/>
      <c r="BQ16" s="30"/>
      <c r="BR16" s="30"/>
      <c r="BS16" s="29"/>
      <c r="BT16" s="29" t="s">
        <v>8</v>
      </c>
      <c r="BU16" s="24" t="s">
        <v>439</v>
      </c>
      <c r="BV16" t="s">
        <v>76</v>
      </c>
      <c r="BW16" s="32" t="s">
        <v>77</v>
      </c>
    </row>
    <row r="17" spans="1:75" x14ac:dyDescent="0.15">
      <c r="A17" s="33">
        <v>4148</v>
      </c>
      <c r="B17" s="26">
        <v>41927</v>
      </c>
      <c r="C17" s="27" t="s">
        <v>92</v>
      </c>
      <c r="D17" s="24" t="s">
        <v>11</v>
      </c>
      <c r="E17" s="24"/>
      <c r="F17" s="24" t="s">
        <v>33</v>
      </c>
      <c r="G17" s="28">
        <v>41881</v>
      </c>
      <c r="H17" s="29" t="s">
        <v>46</v>
      </c>
      <c r="I17" s="29" t="s">
        <v>8</v>
      </c>
      <c r="J17" s="29"/>
      <c r="K17" s="24" t="s">
        <v>450</v>
      </c>
      <c r="L17" s="24" t="s">
        <v>451</v>
      </c>
      <c r="M17" s="24">
        <v>95</v>
      </c>
      <c r="N17" s="24">
        <v>39.5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36</v>
      </c>
      <c r="AS17" s="29" t="s">
        <v>8</v>
      </c>
      <c r="AT17" s="29"/>
      <c r="AU17" s="29"/>
      <c r="AV17" s="29" t="s">
        <v>37</v>
      </c>
      <c r="AW17" s="29">
        <v>10</v>
      </c>
      <c r="AX17" s="29" t="s">
        <v>103</v>
      </c>
      <c r="AY17" s="24"/>
      <c r="AZ17" s="29">
        <v>0</v>
      </c>
      <c r="BA17" s="29">
        <v>0</v>
      </c>
      <c r="BB17" s="29">
        <v>7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24</v>
      </c>
      <c r="BK17" s="29" t="s">
        <v>8</v>
      </c>
      <c r="BL17" s="29"/>
      <c r="BM17" s="29" t="s">
        <v>8</v>
      </c>
      <c r="BN17" s="29"/>
      <c r="BO17" s="29"/>
      <c r="BP17" s="29"/>
      <c r="BQ17" s="24"/>
      <c r="BR17" s="24"/>
      <c r="BS17" s="29"/>
      <c r="BT17" s="29" t="s">
        <v>8</v>
      </c>
      <c r="BU17" s="24"/>
      <c r="BV17" s="66" t="s">
        <v>76</v>
      </c>
      <c r="BW17" s="32" t="s">
        <v>452</v>
      </c>
    </row>
    <row r="18" spans="1:75" x14ac:dyDescent="0.15">
      <c r="A18" s="33">
        <v>89</v>
      </c>
      <c r="B18" s="26">
        <v>41927</v>
      </c>
      <c r="C18" s="27" t="s">
        <v>92</v>
      </c>
      <c r="D18" s="24" t="s">
        <v>11</v>
      </c>
      <c r="E18" s="24"/>
      <c r="F18" s="24" t="s">
        <v>2</v>
      </c>
      <c r="G18" s="28">
        <v>41851</v>
      </c>
      <c r="H18" s="29" t="s">
        <v>46</v>
      </c>
      <c r="I18" s="29" t="s">
        <v>8</v>
      </c>
      <c r="J18" s="29"/>
      <c r="K18" s="24" t="s">
        <v>80</v>
      </c>
      <c r="L18" s="24" t="s">
        <v>98</v>
      </c>
      <c r="M18" s="24">
        <v>91</v>
      </c>
      <c r="N18" s="24">
        <v>42.9</v>
      </c>
      <c r="O18" s="24"/>
      <c r="P18" s="25"/>
      <c r="Q18" s="24"/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5"/>
      <c r="AC18" s="24"/>
      <c r="AD18" s="24"/>
      <c r="AE18" s="24"/>
      <c r="AF18" s="24">
        <v>21.9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4</v>
      </c>
      <c r="AS18" s="29" t="s">
        <v>174</v>
      </c>
      <c r="AT18" s="29"/>
      <c r="AU18" s="29"/>
      <c r="AV18" s="29" t="s">
        <v>37</v>
      </c>
      <c r="AW18" s="29">
        <v>16.3</v>
      </c>
      <c r="AX18" s="29" t="s">
        <v>103</v>
      </c>
      <c r="AY18" s="24"/>
      <c r="AZ18" s="29">
        <v>0</v>
      </c>
      <c r="BA18" s="29">
        <v>16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8</v>
      </c>
      <c r="BL18" s="29">
        <v>24</v>
      </c>
      <c r="BM18" s="29" t="s">
        <v>8</v>
      </c>
      <c r="BN18" s="29"/>
      <c r="BO18" s="29"/>
      <c r="BP18" s="29"/>
      <c r="BQ18" s="30"/>
      <c r="BR18" s="30"/>
      <c r="BS18" s="29"/>
      <c r="BT18" s="29" t="s">
        <v>8</v>
      </c>
      <c r="BU18" s="24"/>
      <c r="BV18" s="66" t="s">
        <v>76</v>
      </c>
      <c r="BW18" s="67" t="s">
        <v>77</v>
      </c>
    </row>
    <row r="19" spans="1:75" x14ac:dyDescent="0.15">
      <c r="A19" s="33">
        <v>2588</v>
      </c>
      <c r="B19" s="26">
        <v>41927</v>
      </c>
      <c r="C19" s="27" t="s">
        <v>92</v>
      </c>
      <c r="D19" s="24" t="s">
        <v>11</v>
      </c>
      <c r="E19" s="24"/>
      <c r="F19" s="24" t="s">
        <v>2</v>
      </c>
      <c r="G19" s="31">
        <v>41865</v>
      </c>
      <c r="H19" s="29" t="s">
        <v>8</v>
      </c>
      <c r="I19" s="29" t="s">
        <v>96</v>
      </c>
      <c r="J19" s="29"/>
      <c r="K19" s="24" t="s">
        <v>110</v>
      </c>
      <c r="L19" s="24" t="s">
        <v>327</v>
      </c>
      <c r="M19" s="24">
        <v>90.5</v>
      </c>
      <c r="N19" s="24">
        <v>44.79</v>
      </c>
      <c r="O19" s="24" t="s">
        <v>3</v>
      </c>
      <c r="P19" s="25">
        <v>2500</v>
      </c>
      <c r="Q19" s="24">
        <v>44.79</v>
      </c>
      <c r="R19" s="25"/>
      <c r="S19" s="24"/>
      <c r="T19" s="25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20.45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</v>
      </c>
      <c r="AS19" s="29" t="s">
        <v>8</v>
      </c>
      <c r="AT19" s="29"/>
      <c r="AU19" s="29"/>
      <c r="AV19" s="29" t="s">
        <v>37</v>
      </c>
      <c r="AW19" s="29">
        <v>9.5</v>
      </c>
      <c r="AX19" s="29" t="s">
        <v>8</v>
      </c>
      <c r="AY19" s="24"/>
      <c r="AZ19" s="29">
        <v>0</v>
      </c>
      <c r="BA19" s="29">
        <v>0</v>
      </c>
      <c r="BB19" s="29">
        <v>0</v>
      </c>
      <c r="BC19" s="29">
        <v>28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/>
      <c r="BK19" s="29" t="s">
        <v>8</v>
      </c>
      <c r="BL19" s="29">
        <v>24</v>
      </c>
      <c r="BM19" s="29" t="s">
        <v>8</v>
      </c>
      <c r="BN19" s="29"/>
      <c r="BO19" s="29"/>
      <c r="BP19" s="29"/>
      <c r="BQ19" s="24"/>
      <c r="BR19" s="24"/>
      <c r="BS19" s="29"/>
      <c r="BT19" s="29" t="s">
        <v>8</v>
      </c>
      <c r="BU19" s="24"/>
      <c r="BV19" s="66" t="s">
        <v>76</v>
      </c>
      <c r="BW19" s="67" t="s">
        <v>77</v>
      </c>
    </row>
    <row r="20" spans="1:75" x14ac:dyDescent="0.15">
      <c r="A20" s="33">
        <v>4051</v>
      </c>
      <c r="B20" s="26">
        <v>41927</v>
      </c>
      <c r="C20" s="27" t="s">
        <v>92</v>
      </c>
      <c r="D20" s="24" t="s">
        <v>11</v>
      </c>
      <c r="E20" s="24"/>
      <c r="F20" s="24" t="s">
        <v>2</v>
      </c>
      <c r="G20" s="28">
        <v>41880</v>
      </c>
      <c r="H20" s="29" t="s">
        <v>175</v>
      </c>
      <c r="I20" s="29" t="s">
        <v>174</v>
      </c>
      <c r="J20" s="29"/>
      <c r="K20" s="24" t="s">
        <v>118</v>
      </c>
      <c r="L20" s="24" t="s">
        <v>444</v>
      </c>
      <c r="M20" s="24">
        <v>82.5</v>
      </c>
      <c r="N20" s="24">
        <v>46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39.200000000000003</v>
      </c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4</v>
      </c>
      <c r="AS20" s="29" t="s">
        <v>8</v>
      </c>
      <c r="AT20" s="29"/>
      <c r="AU20" s="29"/>
      <c r="AV20" s="29" t="s">
        <v>382</v>
      </c>
      <c r="AW20" s="29">
        <v>10</v>
      </c>
      <c r="AX20" s="29" t="s">
        <v>8</v>
      </c>
      <c r="AY20" s="24"/>
      <c r="AZ20" s="29">
        <v>0</v>
      </c>
      <c r="BA20" s="29">
        <v>0</v>
      </c>
      <c r="BB20" s="29">
        <v>16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/>
      <c r="BK20" s="29" t="s">
        <v>8</v>
      </c>
      <c r="BL20" s="29"/>
      <c r="BM20" s="29" t="s">
        <v>8</v>
      </c>
      <c r="BN20" s="29"/>
      <c r="BO20" s="29"/>
      <c r="BP20" s="29"/>
      <c r="BQ20" s="30"/>
      <c r="BR20" s="30"/>
      <c r="BS20" s="29"/>
      <c r="BT20" s="29" t="s">
        <v>8</v>
      </c>
      <c r="BU20" s="24" t="s">
        <v>120</v>
      </c>
      <c r="BV20" s="66" t="s">
        <v>76</v>
      </c>
      <c r="BW20" s="32" t="s">
        <v>77</v>
      </c>
    </row>
    <row r="21" spans="1:75" x14ac:dyDescent="0.15">
      <c r="A21" s="33">
        <v>241</v>
      </c>
      <c r="B21" s="26">
        <v>41927</v>
      </c>
      <c r="C21" s="27" t="s">
        <v>92</v>
      </c>
      <c r="D21" s="24" t="s">
        <v>11</v>
      </c>
      <c r="E21" s="24"/>
      <c r="F21" s="24" t="s">
        <v>2</v>
      </c>
      <c r="G21" s="28">
        <v>41847</v>
      </c>
      <c r="H21" s="29" t="s">
        <v>46</v>
      </c>
      <c r="I21" s="29" t="s">
        <v>8</v>
      </c>
      <c r="J21" s="29"/>
      <c r="K21" s="24" t="s">
        <v>124</v>
      </c>
      <c r="L21" s="24" t="s">
        <v>125</v>
      </c>
      <c r="M21" s="24">
        <v>89.5</v>
      </c>
      <c r="N21" s="24">
        <v>43.95</v>
      </c>
      <c r="O21" s="24"/>
      <c r="P21" s="25"/>
      <c r="Q21" s="24"/>
      <c r="R21" s="25"/>
      <c r="S21" s="24"/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23.7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4</v>
      </c>
      <c r="AS21" s="29" t="s">
        <v>8</v>
      </c>
      <c r="AT21" s="29"/>
      <c r="AU21" s="29"/>
      <c r="AV21" s="29" t="s">
        <v>37</v>
      </c>
      <c r="AW21" s="29">
        <v>11.6</v>
      </c>
      <c r="AX21" s="29" t="s">
        <v>8</v>
      </c>
      <c r="AY21" s="24"/>
      <c r="AZ21" s="29">
        <v>0</v>
      </c>
      <c r="BA21" s="29">
        <v>0</v>
      </c>
      <c r="BB21" s="29">
        <v>0</v>
      </c>
      <c r="BC21" s="29">
        <v>20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/>
      <c r="BK21" s="29" t="s">
        <v>8</v>
      </c>
      <c r="BL21" s="29"/>
      <c r="BM21" s="29" t="s">
        <v>8</v>
      </c>
      <c r="BN21" s="29"/>
      <c r="BO21" s="29"/>
      <c r="BP21" s="29"/>
      <c r="BQ21" s="30" t="s">
        <v>127</v>
      </c>
      <c r="BR21" s="24"/>
      <c r="BS21" s="29"/>
      <c r="BT21" s="29" t="s">
        <v>8</v>
      </c>
      <c r="BU21" s="24"/>
      <c r="BV21" t="s">
        <v>424</v>
      </c>
      <c r="BW21" s="32" t="s">
        <v>32</v>
      </c>
    </row>
    <row r="22" spans="1:75" x14ac:dyDescent="0.15">
      <c r="A22" s="33">
        <v>395</v>
      </c>
      <c r="B22" s="26">
        <v>41927</v>
      </c>
      <c r="C22" s="27" t="s">
        <v>92</v>
      </c>
      <c r="D22" s="24" t="s">
        <v>11</v>
      </c>
      <c r="E22" s="24"/>
      <c r="F22" s="24" t="s">
        <v>2</v>
      </c>
      <c r="G22" s="28">
        <v>41820</v>
      </c>
      <c r="H22" s="29" t="s">
        <v>46</v>
      </c>
      <c r="I22" s="29" t="s">
        <v>8</v>
      </c>
      <c r="J22" s="29"/>
      <c r="K22" s="24" t="s">
        <v>130</v>
      </c>
      <c r="L22" s="24" t="s">
        <v>131</v>
      </c>
      <c r="M22" s="24">
        <v>99.5</v>
      </c>
      <c r="N22" s="24">
        <v>38.9</v>
      </c>
      <c r="O22" s="24" t="s">
        <v>3</v>
      </c>
      <c r="P22" s="25">
        <v>1000</v>
      </c>
      <c r="Q22" s="24">
        <v>39.950000000000003</v>
      </c>
      <c r="R22" s="25">
        <v>1500</v>
      </c>
      <c r="S22" s="24">
        <v>40.98</v>
      </c>
      <c r="T22" s="25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19.95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4</v>
      </c>
      <c r="AS22" s="29" t="s">
        <v>8</v>
      </c>
      <c r="AT22" s="29"/>
      <c r="AU22" s="29"/>
      <c r="AV22" s="29" t="s">
        <v>37</v>
      </c>
      <c r="AW22" s="29">
        <v>12</v>
      </c>
      <c r="AX22" s="29" t="s">
        <v>103</v>
      </c>
      <c r="AY22" s="24"/>
      <c r="AZ22" s="29">
        <v>0</v>
      </c>
      <c r="BA22" s="29">
        <v>0</v>
      </c>
      <c r="BB22" s="29">
        <v>7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24</v>
      </c>
      <c r="BK22" s="29" t="s">
        <v>46</v>
      </c>
      <c r="BL22" s="29"/>
      <c r="BM22" s="29" t="s">
        <v>8</v>
      </c>
      <c r="BN22" s="29"/>
      <c r="BO22" s="29"/>
      <c r="BP22" s="29"/>
      <c r="BQ22" s="24"/>
      <c r="BR22" s="24"/>
      <c r="BS22" s="29"/>
      <c r="BT22" s="29" t="s">
        <v>8</v>
      </c>
      <c r="BU22" s="24" t="s">
        <v>136</v>
      </c>
      <c r="BV22" t="s">
        <v>445</v>
      </c>
      <c r="BW22" s="32" t="s">
        <v>77</v>
      </c>
    </row>
    <row r="23" spans="1:75" x14ac:dyDescent="0.15">
      <c r="A23" s="33">
        <v>573</v>
      </c>
      <c r="B23" s="26">
        <v>41927</v>
      </c>
      <c r="C23" s="27" t="s">
        <v>92</v>
      </c>
      <c r="D23" s="24" t="s">
        <v>11</v>
      </c>
      <c r="E23" s="24"/>
      <c r="F23" s="24" t="s">
        <v>2</v>
      </c>
      <c r="G23" s="28">
        <v>41880</v>
      </c>
      <c r="H23" s="29" t="s">
        <v>46</v>
      </c>
      <c r="I23" s="29" t="s">
        <v>8</v>
      </c>
      <c r="J23" s="29"/>
      <c r="K23" s="24" t="s">
        <v>24</v>
      </c>
      <c r="L23" s="24" t="s">
        <v>35</v>
      </c>
      <c r="M23" s="24">
        <v>89.6</v>
      </c>
      <c r="N23" s="24">
        <v>46.2</v>
      </c>
      <c r="O23" s="24"/>
      <c r="P23" s="25"/>
      <c r="Q23" s="24"/>
      <c r="R23" s="25"/>
      <c r="S23" s="24"/>
      <c r="T23" s="25"/>
      <c r="U23" s="24"/>
      <c r="V23" s="24"/>
      <c r="W23" s="24"/>
      <c r="X23" s="25"/>
      <c r="Y23" s="24"/>
      <c r="Z23" s="25"/>
      <c r="AA23" s="24"/>
      <c r="AB23" s="25"/>
      <c r="AC23" s="24"/>
      <c r="AD23" s="24"/>
      <c r="AE23" s="24"/>
      <c r="AF23" s="24">
        <v>16.91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4</v>
      </c>
      <c r="AS23" s="29" t="s">
        <v>8</v>
      </c>
      <c r="AT23" s="29"/>
      <c r="AU23" s="29"/>
      <c r="AV23" s="29" t="s">
        <v>37</v>
      </c>
      <c r="AW23" s="29">
        <v>15</v>
      </c>
      <c r="AX23" s="29" t="s">
        <v>103</v>
      </c>
      <c r="AY23" s="24"/>
      <c r="AZ23" s="29">
        <v>0</v>
      </c>
      <c r="BA23" s="29">
        <v>18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24</v>
      </c>
      <c r="BK23" s="29" t="s">
        <v>46</v>
      </c>
      <c r="BL23" s="29"/>
      <c r="BM23" s="29" t="s">
        <v>8</v>
      </c>
      <c r="BN23" s="29"/>
      <c r="BO23" s="29"/>
      <c r="BP23" s="29"/>
      <c r="BQ23" s="24"/>
      <c r="BR23" s="24"/>
      <c r="BS23" s="29"/>
      <c r="BT23" s="29" t="s">
        <v>8</v>
      </c>
      <c r="BU23" s="24"/>
      <c r="BV23" s="66" t="s">
        <v>76</v>
      </c>
      <c r="BW23" s="67" t="s">
        <v>77</v>
      </c>
    </row>
    <row r="24" spans="1:75" x14ac:dyDescent="0.15">
      <c r="A24" s="33">
        <v>921</v>
      </c>
      <c r="B24" s="26">
        <v>41927</v>
      </c>
      <c r="C24" s="27" t="s">
        <v>92</v>
      </c>
      <c r="D24" s="24" t="s">
        <v>11</v>
      </c>
      <c r="E24" s="24"/>
      <c r="F24" s="24" t="s">
        <v>2</v>
      </c>
      <c r="G24" s="28">
        <v>41881</v>
      </c>
      <c r="H24" s="29" t="s">
        <v>46</v>
      </c>
      <c r="I24" s="29" t="s">
        <v>8</v>
      </c>
      <c r="J24" s="29"/>
      <c r="K24" s="24" t="s">
        <v>53</v>
      </c>
      <c r="L24" s="24" t="s">
        <v>54</v>
      </c>
      <c r="M24" s="24">
        <v>97.89</v>
      </c>
      <c r="N24" s="24">
        <v>38.26</v>
      </c>
      <c r="O24" s="24" t="s">
        <v>3</v>
      </c>
      <c r="P24" s="25">
        <v>1200</v>
      </c>
      <c r="Q24" s="24">
        <v>38.26</v>
      </c>
      <c r="R24" s="25"/>
      <c r="S24" s="24"/>
      <c r="T24" s="25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22.5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</v>
      </c>
      <c r="AS24" s="29" t="s">
        <v>8</v>
      </c>
      <c r="AT24" s="29"/>
      <c r="AU24" s="29"/>
      <c r="AV24" s="29" t="s">
        <v>37</v>
      </c>
      <c r="AW24" s="29">
        <v>6.8</v>
      </c>
      <c r="AX24" s="29" t="s">
        <v>8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12</v>
      </c>
      <c r="BK24" s="29" t="s">
        <v>46</v>
      </c>
      <c r="BL24" s="29"/>
      <c r="BM24" s="29" t="s">
        <v>8</v>
      </c>
      <c r="BN24" s="29"/>
      <c r="BO24" s="29"/>
      <c r="BP24" s="29"/>
      <c r="BQ24" s="24"/>
      <c r="BR24" s="24"/>
      <c r="BS24" s="29"/>
      <c r="BT24" s="29" t="s">
        <v>8</v>
      </c>
      <c r="BU24" s="24" t="s">
        <v>56</v>
      </c>
      <c r="BV24" s="66" t="s">
        <v>76</v>
      </c>
      <c r="BW24" s="67" t="s">
        <v>77</v>
      </c>
    </row>
    <row r="25" spans="1:75" x14ac:dyDescent="0.15">
      <c r="A25" s="33">
        <v>1149</v>
      </c>
      <c r="B25" s="26">
        <v>41927</v>
      </c>
      <c r="C25" s="27" t="s">
        <v>92</v>
      </c>
      <c r="D25" s="24" t="s">
        <v>11</v>
      </c>
      <c r="E25" s="24"/>
      <c r="F25" s="24" t="s">
        <v>2</v>
      </c>
      <c r="G25" s="28">
        <v>41914</v>
      </c>
      <c r="H25" s="29" t="s">
        <v>46</v>
      </c>
      <c r="I25" s="29" t="s">
        <v>8</v>
      </c>
      <c r="J25" s="29"/>
      <c r="K25" s="24" t="s">
        <v>10</v>
      </c>
      <c r="L25" s="24" t="s">
        <v>60</v>
      </c>
      <c r="M25" s="24">
        <v>89.68</v>
      </c>
      <c r="N25" s="24">
        <v>39.770000000000003</v>
      </c>
      <c r="O25" s="24"/>
      <c r="P25" s="24"/>
      <c r="Q25" s="24"/>
      <c r="R25" s="25"/>
      <c r="S25" s="24"/>
      <c r="T25" s="25"/>
      <c r="U25" s="24"/>
      <c r="V25" s="24"/>
      <c r="W25" s="24"/>
      <c r="X25" s="24"/>
      <c r="Y25" s="24"/>
      <c r="Z25" s="25"/>
      <c r="AA25" s="24"/>
      <c r="AB25" s="25"/>
      <c r="AC25" s="24"/>
      <c r="AD25" s="24"/>
      <c r="AE25" s="24"/>
      <c r="AF25" s="24">
        <v>19.059999999999999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t="s">
        <v>4</v>
      </c>
      <c r="AS25" s="29" t="s">
        <v>8</v>
      </c>
      <c r="AT25" s="29"/>
      <c r="AU25" s="29"/>
      <c r="AV25" s="29" t="s">
        <v>37</v>
      </c>
      <c r="AW25" s="29">
        <v>10</v>
      </c>
      <c r="AX25" s="29" t="s">
        <v>103</v>
      </c>
      <c r="AY25" s="24"/>
      <c r="AZ25" s="29">
        <v>0</v>
      </c>
      <c r="BA25" s="29">
        <v>16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12</v>
      </c>
      <c r="BK25" s="29" t="s">
        <v>46</v>
      </c>
      <c r="BL25" s="29"/>
      <c r="BM25" s="29" t="s">
        <v>8</v>
      </c>
      <c r="BN25" s="29"/>
      <c r="BO25" s="29"/>
      <c r="BP25" s="29"/>
      <c r="BQ25" s="24"/>
      <c r="BR25" s="24"/>
      <c r="BS25" s="29"/>
      <c r="BT25" s="29" t="s">
        <v>8</v>
      </c>
      <c r="BU25" s="30" t="s">
        <v>61</v>
      </c>
      <c r="BV25" s="66" t="s">
        <v>76</v>
      </c>
      <c r="BW25" s="32" t="s">
        <v>39</v>
      </c>
    </row>
    <row r="26" spans="1:75" x14ac:dyDescent="0.15">
      <c r="A26" s="33">
        <v>3824</v>
      </c>
      <c r="B26" s="26">
        <v>41927</v>
      </c>
      <c r="C26" s="27" t="s">
        <v>92</v>
      </c>
      <c r="D26" s="24" t="s">
        <v>11</v>
      </c>
      <c r="E26" s="24"/>
      <c r="F26" s="24" t="s">
        <v>2</v>
      </c>
      <c r="G26" s="28">
        <v>41867</v>
      </c>
      <c r="H26" s="29" t="s">
        <v>46</v>
      </c>
      <c r="I26" s="29" t="s">
        <v>8</v>
      </c>
      <c r="J26" s="29"/>
      <c r="K26" s="24" t="s">
        <v>64</v>
      </c>
      <c r="L26" s="24" t="s">
        <v>446</v>
      </c>
      <c r="M26" s="24">
        <v>91</v>
      </c>
      <c r="N26" s="24">
        <v>42.9</v>
      </c>
      <c r="O26" s="24"/>
      <c r="P26" s="25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21.9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t="s">
        <v>4</v>
      </c>
      <c r="AS26" s="29" t="s">
        <v>8</v>
      </c>
      <c r="AT26" s="29"/>
      <c r="AU26" s="29"/>
      <c r="AV26" s="29" t="s">
        <v>37</v>
      </c>
      <c r="AW26" s="29">
        <v>16.3</v>
      </c>
      <c r="AX26" s="29" t="s">
        <v>103</v>
      </c>
      <c r="AY26" s="24"/>
      <c r="AZ26" s="29">
        <v>0</v>
      </c>
      <c r="BA26" s="29">
        <v>16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/>
      <c r="BK26" s="29" t="s">
        <v>8</v>
      </c>
      <c r="BL26" s="29">
        <v>24</v>
      </c>
      <c r="BM26" s="29" t="s">
        <v>8</v>
      </c>
      <c r="BN26" s="29"/>
      <c r="BO26" s="29"/>
      <c r="BP26" s="29"/>
      <c r="BQ26" s="30"/>
      <c r="BR26" s="30"/>
      <c r="BS26" s="29"/>
      <c r="BT26" s="29" t="s">
        <v>8</v>
      </c>
      <c r="BU26" s="24"/>
      <c r="BV26" t="s">
        <v>76</v>
      </c>
      <c r="BW26" s="32" t="s">
        <v>32</v>
      </c>
    </row>
    <row r="27" spans="1:75" x14ac:dyDescent="0.15">
      <c r="A27" s="33">
        <v>1479</v>
      </c>
      <c r="B27" s="26">
        <v>41927</v>
      </c>
      <c r="C27" s="27" t="s">
        <v>92</v>
      </c>
      <c r="D27" s="24" t="s">
        <v>11</v>
      </c>
      <c r="E27" s="24"/>
      <c r="F27" s="24" t="s">
        <v>2</v>
      </c>
      <c r="G27" s="28">
        <v>41912</v>
      </c>
      <c r="H27" s="29" t="s">
        <v>46</v>
      </c>
      <c r="I27" s="29" t="s">
        <v>8</v>
      </c>
      <c r="J27" s="29"/>
      <c r="K27" s="24" t="s">
        <v>68</v>
      </c>
      <c r="L27" s="24" t="s">
        <v>429</v>
      </c>
      <c r="M27" s="24">
        <v>100.5</v>
      </c>
      <c r="N27" s="24">
        <v>39.9</v>
      </c>
      <c r="O27" s="24" t="s">
        <v>3</v>
      </c>
      <c r="P27" s="25">
        <v>2500</v>
      </c>
      <c r="Q27" s="24">
        <v>42</v>
      </c>
      <c r="R27" s="25"/>
      <c r="S27" s="24"/>
      <c r="T27" s="25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>
        <v>19.350000000000001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4</v>
      </c>
      <c r="AS27" s="29" t="s">
        <v>8</v>
      </c>
      <c r="AT27" s="29"/>
      <c r="AU27" s="29"/>
      <c r="AV27" s="29" t="s">
        <v>37</v>
      </c>
      <c r="AW27" s="29">
        <v>16</v>
      </c>
      <c r="AX27" s="29" t="s">
        <v>103</v>
      </c>
      <c r="AY27" s="24"/>
      <c r="AZ27" s="29">
        <v>0</v>
      </c>
      <c r="BA27" s="29">
        <v>0</v>
      </c>
      <c r="BB27" s="29">
        <v>10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8</v>
      </c>
      <c r="BL27" s="29"/>
      <c r="BM27" s="29" t="s">
        <v>8</v>
      </c>
      <c r="BN27" s="29"/>
      <c r="BO27" s="29"/>
      <c r="BP27" s="29"/>
      <c r="BQ27" s="24"/>
      <c r="BR27" s="24"/>
      <c r="BS27" s="29"/>
      <c r="BT27" s="29" t="s">
        <v>8</v>
      </c>
      <c r="BU27" s="24"/>
      <c r="BV27" t="s">
        <v>76</v>
      </c>
      <c r="BW27" s="67" t="s">
        <v>39</v>
      </c>
    </row>
    <row r="28" spans="1:75" x14ac:dyDescent="0.15">
      <c r="A28" s="33">
        <v>2136</v>
      </c>
      <c r="B28" s="26">
        <v>41927</v>
      </c>
      <c r="C28" s="27" t="s">
        <v>92</v>
      </c>
      <c r="D28" s="24" t="s">
        <v>11</v>
      </c>
      <c r="E28" s="24"/>
      <c r="F28" s="24" t="s">
        <v>2</v>
      </c>
      <c r="G28" s="31">
        <v>41921</v>
      </c>
      <c r="H28" s="29" t="s">
        <v>46</v>
      </c>
      <c r="I28" s="29" t="s">
        <v>8</v>
      </c>
      <c r="J28" s="29"/>
      <c r="K28" s="24" t="s">
        <v>72</v>
      </c>
      <c r="L28" s="24" t="s">
        <v>447</v>
      </c>
      <c r="M28" s="24">
        <v>86.38</v>
      </c>
      <c r="N28" s="24">
        <v>40.340000000000003</v>
      </c>
      <c r="O28" s="24"/>
      <c r="P28" s="25"/>
      <c r="Q28" s="24"/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27.49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t="s">
        <v>4</v>
      </c>
      <c r="AS28" s="29" t="s">
        <v>8</v>
      </c>
      <c r="AT28" s="29"/>
      <c r="AU28" s="29"/>
      <c r="AV28" s="29" t="s">
        <v>37</v>
      </c>
      <c r="AW28" s="29">
        <v>10</v>
      </c>
      <c r="AX28" s="29" t="s">
        <v>8</v>
      </c>
      <c r="AY28" s="24"/>
      <c r="AZ28" s="29">
        <v>0</v>
      </c>
      <c r="BA28" s="29">
        <v>15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/>
      <c r="BK28" s="74" t="s">
        <v>174</v>
      </c>
      <c r="BL28" s="29">
        <v>24</v>
      </c>
      <c r="BM28" s="29" t="s">
        <v>8</v>
      </c>
      <c r="BN28" s="29"/>
      <c r="BO28" s="29"/>
      <c r="BP28" s="29"/>
      <c r="BQ28" s="30" t="s">
        <v>15</v>
      </c>
      <c r="BR28" s="30" t="s">
        <v>75</v>
      </c>
      <c r="BS28" s="29">
        <v>50</v>
      </c>
      <c r="BT28" s="29" t="s">
        <v>8</v>
      </c>
      <c r="BU28" s="24"/>
      <c r="BV28" t="s">
        <v>16</v>
      </c>
      <c r="BW28" s="67" t="s">
        <v>39</v>
      </c>
    </row>
    <row r="29" spans="1:75" x14ac:dyDescent="0.15">
      <c r="A29" s="33">
        <v>3329</v>
      </c>
      <c r="B29" s="26">
        <v>41927</v>
      </c>
      <c r="C29" s="27" t="s">
        <v>92</v>
      </c>
      <c r="D29" s="24" t="s">
        <v>11</v>
      </c>
      <c r="E29" s="24"/>
      <c r="F29" s="24" t="s">
        <v>2</v>
      </c>
      <c r="G29" s="31">
        <v>41817</v>
      </c>
      <c r="H29" s="29" t="s">
        <v>8</v>
      </c>
      <c r="I29" s="29" t="s">
        <v>96</v>
      </c>
      <c r="J29" s="29"/>
      <c r="K29" s="24" t="s">
        <v>431</v>
      </c>
      <c r="L29" s="68" t="s">
        <v>432</v>
      </c>
      <c r="M29" s="24">
        <v>111</v>
      </c>
      <c r="N29" s="24">
        <v>34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25</v>
      </c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4</v>
      </c>
      <c r="AS29" s="29" t="s">
        <v>8</v>
      </c>
      <c r="AT29" s="29"/>
      <c r="AU29" s="29"/>
      <c r="AV29" s="29"/>
      <c r="AW29" s="29"/>
      <c r="AX29" s="29" t="s">
        <v>8</v>
      </c>
      <c r="AY29" s="24"/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36</v>
      </c>
      <c r="BK29" s="29" t="s">
        <v>8</v>
      </c>
      <c r="BL29" s="29"/>
      <c r="BM29" s="29" t="s">
        <v>8</v>
      </c>
      <c r="BN29" s="29"/>
      <c r="BO29" s="29"/>
      <c r="BP29" s="29"/>
      <c r="BQ29" s="30"/>
      <c r="BR29" s="30"/>
      <c r="BS29" s="29"/>
      <c r="BT29" s="29" t="s">
        <v>8</v>
      </c>
      <c r="BU29" s="24" t="s">
        <v>433</v>
      </c>
      <c r="BV29" t="s">
        <v>76</v>
      </c>
      <c r="BW29" s="32" t="s">
        <v>77</v>
      </c>
    </row>
    <row r="30" spans="1:75" x14ac:dyDescent="0.15">
      <c r="A30" s="33">
        <v>3579</v>
      </c>
      <c r="B30" s="26">
        <v>41927</v>
      </c>
      <c r="C30" s="27" t="s">
        <v>92</v>
      </c>
      <c r="D30" s="24" t="s">
        <v>11</v>
      </c>
      <c r="E30" s="24"/>
      <c r="F30" s="24" t="s">
        <v>2</v>
      </c>
      <c r="G30" s="28">
        <v>41801</v>
      </c>
      <c r="H30" s="29" t="s">
        <v>8</v>
      </c>
      <c r="I30" s="29" t="s">
        <v>96</v>
      </c>
      <c r="J30" s="29"/>
      <c r="K30" s="24" t="s">
        <v>434</v>
      </c>
      <c r="L30" s="68" t="s">
        <v>448</v>
      </c>
      <c r="M30" s="24">
        <v>80</v>
      </c>
      <c r="N30" s="24">
        <v>31.68</v>
      </c>
      <c r="O30" s="24"/>
      <c r="P30" s="25"/>
      <c r="Q30" s="24"/>
      <c r="R30" s="25"/>
      <c r="S30" s="24"/>
      <c r="T30" s="25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13.613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4</v>
      </c>
      <c r="AS30" s="29" t="s">
        <v>8</v>
      </c>
      <c r="AT30" s="29"/>
      <c r="AU30" s="29"/>
      <c r="AV30" s="29"/>
      <c r="AW30" s="29"/>
      <c r="AX30" s="29" t="s">
        <v>103</v>
      </c>
      <c r="AY30" s="24"/>
      <c r="AZ30" s="29">
        <v>0</v>
      </c>
      <c r="BA30" s="29">
        <v>0</v>
      </c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24</v>
      </c>
      <c r="BK30" s="29" t="s">
        <v>46</v>
      </c>
      <c r="BL30" s="29"/>
      <c r="BM30" s="29" t="s">
        <v>8</v>
      </c>
      <c r="BN30" s="29"/>
      <c r="BO30" s="29"/>
      <c r="BP30" s="29"/>
      <c r="BQ30" s="30"/>
      <c r="BR30" s="30"/>
      <c r="BS30" s="30"/>
      <c r="BT30" s="29" t="s">
        <v>8</v>
      </c>
      <c r="BU30" s="24" t="s">
        <v>449</v>
      </c>
      <c r="BV30" s="66" t="s">
        <v>76</v>
      </c>
      <c r="BW30" s="67" t="s">
        <v>77</v>
      </c>
    </row>
    <row r="31" spans="1:75" x14ac:dyDescent="0.15">
      <c r="A31" s="33">
        <v>3116</v>
      </c>
      <c r="B31" s="26">
        <v>41927</v>
      </c>
      <c r="C31" s="27" t="s">
        <v>92</v>
      </c>
      <c r="D31" s="24" t="s">
        <v>11</v>
      </c>
      <c r="E31" s="24"/>
      <c r="F31" s="24" t="s">
        <v>2</v>
      </c>
      <c r="G31" s="28">
        <v>41880</v>
      </c>
      <c r="H31" s="29" t="s">
        <v>175</v>
      </c>
      <c r="I31" s="29" t="s">
        <v>174</v>
      </c>
      <c r="J31" s="29"/>
      <c r="K31" s="24" t="s">
        <v>437</v>
      </c>
      <c r="L31" s="24" t="s">
        <v>438</v>
      </c>
      <c r="M31" s="24">
        <v>82.5</v>
      </c>
      <c r="N31" s="24">
        <v>46</v>
      </c>
      <c r="O31" s="24"/>
      <c r="P31" s="25"/>
      <c r="Q31" s="24"/>
      <c r="R31" s="25"/>
      <c r="S31" s="24"/>
      <c r="T31" s="25"/>
      <c r="U31" s="24"/>
      <c r="V31" s="24"/>
      <c r="W31" s="24"/>
      <c r="X31" s="24"/>
      <c r="Y31" s="24"/>
      <c r="Z31" s="24"/>
      <c r="AA31" s="24"/>
      <c r="AB31" s="25"/>
      <c r="AC31" s="24"/>
      <c r="AD31" s="24"/>
      <c r="AE31" s="24"/>
      <c r="AF31" s="24">
        <v>39.200000000000003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4</v>
      </c>
      <c r="AS31" s="29" t="s">
        <v>174</v>
      </c>
      <c r="AT31" s="29"/>
      <c r="AU31" s="29"/>
      <c r="AV31" s="29" t="s">
        <v>382</v>
      </c>
      <c r="AW31" s="29">
        <v>10</v>
      </c>
      <c r="AX31" s="29" t="s">
        <v>174</v>
      </c>
      <c r="AY31" s="24"/>
      <c r="AZ31" s="29">
        <v>0</v>
      </c>
      <c r="BA31" s="29">
        <v>0</v>
      </c>
      <c r="BB31" s="29">
        <v>16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/>
      <c r="BK31" s="29" t="s">
        <v>8</v>
      </c>
      <c r="BL31" s="29"/>
      <c r="BM31" s="29" t="s">
        <v>8</v>
      </c>
      <c r="BN31" s="29"/>
      <c r="BO31" s="29"/>
      <c r="BP31" s="29"/>
      <c r="BQ31" s="30"/>
      <c r="BR31" s="30"/>
      <c r="BS31" s="29"/>
      <c r="BT31" s="29" t="s">
        <v>8</v>
      </c>
      <c r="BU31" s="24" t="s">
        <v>439</v>
      </c>
      <c r="BV31" t="s">
        <v>76</v>
      </c>
      <c r="BW31" s="32" t="s">
        <v>77</v>
      </c>
    </row>
    <row r="32" spans="1:75" x14ac:dyDescent="0.15">
      <c r="A32" s="33">
        <v>92</v>
      </c>
      <c r="B32" s="26">
        <v>41927</v>
      </c>
      <c r="C32" s="27" t="s">
        <v>92</v>
      </c>
      <c r="D32" s="24" t="s">
        <v>11</v>
      </c>
      <c r="E32" s="24"/>
      <c r="F32" s="24" t="s">
        <v>17</v>
      </c>
      <c r="G32" s="28">
        <v>41851</v>
      </c>
      <c r="H32" s="29" t="s">
        <v>46</v>
      </c>
      <c r="I32" s="29" t="s">
        <v>8</v>
      </c>
      <c r="J32" s="29"/>
      <c r="K32" s="24" t="s">
        <v>80</v>
      </c>
      <c r="L32" s="24" t="s">
        <v>98</v>
      </c>
      <c r="M32" s="24">
        <v>91</v>
      </c>
      <c r="N32" s="24">
        <v>42.9</v>
      </c>
      <c r="O32" s="24"/>
      <c r="P32" s="25"/>
      <c r="Q32" s="24"/>
      <c r="R32" s="25"/>
      <c r="S32" s="24"/>
      <c r="T32" s="25"/>
      <c r="U32" s="24"/>
      <c r="V32" s="24"/>
      <c r="W32" s="24">
        <v>27.9</v>
      </c>
      <c r="X32" s="25"/>
      <c r="Y32" s="24"/>
      <c r="Z32" s="25"/>
      <c r="AA32" s="24"/>
      <c r="AB32" s="25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20</v>
      </c>
      <c r="AS32" s="29" t="s">
        <v>174</v>
      </c>
      <c r="AT32" s="29"/>
      <c r="AU32" s="29"/>
      <c r="AV32" s="29" t="s">
        <v>37</v>
      </c>
      <c r="AW32" s="29">
        <v>16.3</v>
      </c>
      <c r="AX32" s="29" t="s">
        <v>103</v>
      </c>
      <c r="AY32" s="24"/>
      <c r="AZ32" s="29">
        <v>0</v>
      </c>
      <c r="BA32" s="29">
        <v>16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/>
      <c r="BK32" s="29" t="s">
        <v>8</v>
      </c>
      <c r="BL32" s="29">
        <v>24</v>
      </c>
      <c r="BM32" s="29" t="s">
        <v>8</v>
      </c>
      <c r="BN32" s="29"/>
      <c r="BO32" s="29"/>
      <c r="BP32" s="29"/>
      <c r="BQ32" s="30"/>
      <c r="BR32" s="30"/>
      <c r="BS32" s="29"/>
      <c r="BT32" s="29" t="s">
        <v>8</v>
      </c>
      <c r="BU32" s="24"/>
      <c r="BV32" s="66" t="s">
        <v>76</v>
      </c>
      <c r="BW32" s="67" t="s">
        <v>77</v>
      </c>
    </row>
    <row r="33" spans="1:75" x14ac:dyDescent="0.15">
      <c r="A33" s="33">
        <v>2590</v>
      </c>
      <c r="B33" s="26">
        <v>41927</v>
      </c>
      <c r="C33" s="27" t="s">
        <v>92</v>
      </c>
      <c r="D33" s="24" t="s">
        <v>11</v>
      </c>
      <c r="E33" s="24"/>
      <c r="F33" s="24" t="s">
        <v>17</v>
      </c>
      <c r="G33" s="31">
        <v>41865</v>
      </c>
      <c r="H33" s="29" t="s">
        <v>8</v>
      </c>
      <c r="I33" s="29" t="s">
        <v>96</v>
      </c>
      <c r="J33" s="29"/>
      <c r="K33" s="24" t="s">
        <v>110</v>
      </c>
      <c r="L33" s="24" t="s">
        <v>327</v>
      </c>
      <c r="M33" s="24">
        <v>90.5</v>
      </c>
      <c r="N33" s="24">
        <v>50.85</v>
      </c>
      <c r="O33" s="24"/>
      <c r="P33" s="25"/>
      <c r="Q33" s="24"/>
      <c r="R33" s="25"/>
      <c r="S33" s="24"/>
      <c r="T33" s="25"/>
      <c r="U33" s="24"/>
      <c r="V33" s="24"/>
      <c r="W33" s="24">
        <v>30.36</v>
      </c>
      <c r="X33" s="24"/>
      <c r="Y33" s="24"/>
      <c r="Z33" s="24"/>
      <c r="AA33" s="24"/>
      <c r="AB33" s="24"/>
      <c r="AC33" s="24"/>
      <c r="AD33" s="24"/>
      <c r="AE33" s="24"/>
      <c r="AF33" s="24"/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 t="s">
        <v>20</v>
      </c>
      <c r="AS33" s="29" t="s">
        <v>8</v>
      </c>
      <c r="AT33" s="29"/>
      <c r="AU33" s="29"/>
      <c r="AV33" s="29" t="s">
        <v>37</v>
      </c>
      <c r="AW33" s="29">
        <v>9.5</v>
      </c>
      <c r="AX33" s="29" t="s">
        <v>8</v>
      </c>
      <c r="AY33" s="24"/>
      <c r="AZ33" s="29">
        <v>0</v>
      </c>
      <c r="BA33" s="29">
        <v>0</v>
      </c>
      <c r="BB33" s="29">
        <v>0</v>
      </c>
      <c r="BC33" s="29">
        <v>28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8</v>
      </c>
      <c r="BL33" s="29">
        <v>24</v>
      </c>
      <c r="BM33" s="29" t="s">
        <v>8</v>
      </c>
      <c r="BN33" s="29"/>
      <c r="BO33" s="29"/>
      <c r="BP33" s="29"/>
      <c r="BQ33" s="24"/>
      <c r="BR33" s="24"/>
      <c r="BS33" s="29"/>
      <c r="BT33" s="29" t="s">
        <v>8</v>
      </c>
      <c r="BU33" s="24"/>
      <c r="BV33" s="66" t="s">
        <v>76</v>
      </c>
      <c r="BW33" s="67" t="s">
        <v>77</v>
      </c>
    </row>
    <row r="34" spans="1:75" x14ac:dyDescent="0.15">
      <c r="A34" s="33">
        <v>4053</v>
      </c>
      <c r="B34" s="26">
        <v>41927</v>
      </c>
      <c r="C34" s="27" t="s">
        <v>92</v>
      </c>
      <c r="D34" s="24" t="s">
        <v>11</v>
      </c>
      <c r="E34" s="24"/>
      <c r="F34" s="24" t="s">
        <v>17</v>
      </c>
      <c r="G34" s="28">
        <v>41880</v>
      </c>
      <c r="H34" s="29" t="s">
        <v>175</v>
      </c>
      <c r="I34" s="29" t="s">
        <v>174</v>
      </c>
      <c r="J34" s="29"/>
      <c r="K34" s="24" t="s">
        <v>118</v>
      </c>
      <c r="L34" s="24" t="s">
        <v>444</v>
      </c>
      <c r="M34" s="24">
        <v>82.5</v>
      </c>
      <c r="N34" s="24">
        <v>47.9</v>
      </c>
      <c r="O34" s="24"/>
      <c r="P34" s="24"/>
      <c r="Q34" s="24"/>
      <c r="R34" s="24"/>
      <c r="S34" s="24"/>
      <c r="T34" s="24"/>
      <c r="U34" s="24"/>
      <c r="V34" s="24"/>
      <c r="W34" s="24">
        <v>39.700000000000003</v>
      </c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20</v>
      </c>
      <c r="AS34" s="29" t="s">
        <v>8</v>
      </c>
      <c r="AT34" s="29"/>
      <c r="AU34" s="29"/>
      <c r="AV34" s="29" t="s">
        <v>382</v>
      </c>
      <c r="AW34" s="29">
        <v>10</v>
      </c>
      <c r="AX34" s="29" t="s">
        <v>8</v>
      </c>
      <c r="AY34" s="24"/>
      <c r="AZ34" s="29">
        <v>0</v>
      </c>
      <c r="BA34" s="29">
        <v>0</v>
      </c>
      <c r="BB34" s="29">
        <v>16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/>
      <c r="BK34" s="29" t="s">
        <v>8</v>
      </c>
      <c r="BL34" s="29"/>
      <c r="BM34" s="29" t="s">
        <v>8</v>
      </c>
      <c r="BN34" s="29"/>
      <c r="BO34" s="29"/>
      <c r="BP34" s="29"/>
      <c r="BQ34" s="30"/>
      <c r="BR34" s="30"/>
      <c r="BS34" s="29"/>
      <c r="BT34" s="29" t="s">
        <v>8</v>
      </c>
      <c r="BU34" s="24" t="s">
        <v>120</v>
      </c>
      <c r="BV34" s="66" t="s">
        <v>76</v>
      </c>
      <c r="BW34" s="32" t="s">
        <v>77</v>
      </c>
    </row>
    <row r="35" spans="1:75" x14ac:dyDescent="0.15">
      <c r="A35" s="33">
        <v>243</v>
      </c>
      <c r="B35" s="26">
        <v>41927</v>
      </c>
      <c r="C35" s="27" t="s">
        <v>92</v>
      </c>
      <c r="D35" s="24" t="s">
        <v>11</v>
      </c>
      <c r="E35" s="24"/>
      <c r="F35" s="24" t="s">
        <v>17</v>
      </c>
      <c r="G35" s="28">
        <v>41847</v>
      </c>
      <c r="H35" s="29" t="s">
        <v>46</v>
      </c>
      <c r="I35" s="29" t="s">
        <v>8</v>
      </c>
      <c r="J35" s="29"/>
      <c r="K35" s="24" t="s">
        <v>124</v>
      </c>
      <c r="L35" s="24" t="s">
        <v>125</v>
      </c>
      <c r="M35" s="24">
        <v>89.5</v>
      </c>
      <c r="N35" s="24">
        <v>48.7</v>
      </c>
      <c r="O35" s="24"/>
      <c r="P35" s="25"/>
      <c r="Q35" s="24"/>
      <c r="R35" s="25"/>
      <c r="S35" s="24"/>
      <c r="T35" s="25"/>
      <c r="U35" s="24"/>
      <c r="V35" s="24"/>
      <c r="W35" s="24">
        <v>30.95</v>
      </c>
      <c r="X35" s="24"/>
      <c r="Y35" s="24"/>
      <c r="Z35" s="24"/>
      <c r="AA35" s="24"/>
      <c r="AB35" s="24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20</v>
      </c>
      <c r="AS35" s="29" t="s">
        <v>8</v>
      </c>
      <c r="AT35" s="29"/>
      <c r="AU35" s="29"/>
      <c r="AV35" s="29" t="s">
        <v>37</v>
      </c>
      <c r="AW35" s="29">
        <v>11.6</v>
      </c>
      <c r="AX35" s="29" t="s">
        <v>8</v>
      </c>
      <c r="AY35" s="24"/>
      <c r="AZ35" s="29">
        <v>0</v>
      </c>
      <c r="BA35" s="29">
        <v>0</v>
      </c>
      <c r="BB35" s="29">
        <v>0</v>
      </c>
      <c r="BC35" s="29">
        <v>20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/>
      <c r="BK35" s="29" t="s">
        <v>8</v>
      </c>
      <c r="BL35" s="29"/>
      <c r="BM35" s="29" t="s">
        <v>8</v>
      </c>
      <c r="BN35" s="29"/>
      <c r="BO35" s="29"/>
      <c r="BP35" s="29"/>
      <c r="BQ35" s="30" t="s">
        <v>127</v>
      </c>
      <c r="BR35" s="24"/>
      <c r="BS35" s="29"/>
      <c r="BT35" s="29" t="s">
        <v>8</v>
      </c>
      <c r="BU35" s="24"/>
      <c r="BV35" t="s">
        <v>424</v>
      </c>
      <c r="BW35" s="32" t="s">
        <v>32</v>
      </c>
    </row>
    <row r="36" spans="1:75" x14ac:dyDescent="0.15">
      <c r="A36" s="33">
        <v>397</v>
      </c>
      <c r="B36" s="26">
        <v>41927</v>
      </c>
      <c r="C36" s="27" t="s">
        <v>92</v>
      </c>
      <c r="D36" s="24" t="s">
        <v>11</v>
      </c>
      <c r="E36" s="24"/>
      <c r="F36" s="24" t="s">
        <v>17</v>
      </c>
      <c r="G36" s="28">
        <v>41820</v>
      </c>
      <c r="H36" s="29" t="s">
        <v>46</v>
      </c>
      <c r="I36" s="29" t="s">
        <v>8</v>
      </c>
      <c r="J36" s="29"/>
      <c r="K36" s="24" t="s">
        <v>130</v>
      </c>
      <c r="L36" s="24" t="s">
        <v>131</v>
      </c>
      <c r="M36" s="24">
        <v>99.5</v>
      </c>
      <c r="N36" s="24">
        <v>41.9</v>
      </c>
      <c r="O36" s="24" t="s">
        <v>3</v>
      </c>
      <c r="P36" s="25">
        <v>1000</v>
      </c>
      <c r="Q36" s="24">
        <v>42.6</v>
      </c>
      <c r="R36" s="25">
        <v>1500</v>
      </c>
      <c r="S36" s="24">
        <v>44.9</v>
      </c>
      <c r="T36" s="25"/>
      <c r="U36" s="24"/>
      <c r="V36" s="24"/>
      <c r="W36" s="24">
        <v>27.95</v>
      </c>
      <c r="X36" s="24"/>
      <c r="Y36" s="24"/>
      <c r="Z36" s="24"/>
      <c r="AA36" s="24"/>
      <c r="AB36" s="24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20</v>
      </c>
      <c r="AS36" s="29" t="s">
        <v>8</v>
      </c>
      <c r="AT36" s="29"/>
      <c r="AU36" s="29"/>
      <c r="AV36" s="29" t="s">
        <v>37</v>
      </c>
      <c r="AW36" s="29">
        <v>12</v>
      </c>
      <c r="AX36" s="29" t="s">
        <v>103</v>
      </c>
      <c r="AY36" s="24"/>
      <c r="AZ36" s="29">
        <v>0</v>
      </c>
      <c r="BA36" s="29">
        <v>0</v>
      </c>
      <c r="BB36" s="29">
        <v>7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24</v>
      </c>
      <c r="BK36" s="29" t="s">
        <v>46</v>
      </c>
      <c r="BL36" s="29"/>
      <c r="BM36" s="29" t="s">
        <v>8</v>
      </c>
      <c r="BN36" s="29"/>
      <c r="BO36" s="29"/>
      <c r="BP36" s="29"/>
      <c r="BQ36" s="24"/>
      <c r="BR36" s="24"/>
      <c r="BS36" s="29"/>
      <c r="BT36" s="29" t="s">
        <v>8</v>
      </c>
      <c r="BU36" s="24" t="s">
        <v>136</v>
      </c>
      <c r="BV36" t="s">
        <v>445</v>
      </c>
      <c r="BW36" s="32" t="s">
        <v>77</v>
      </c>
    </row>
    <row r="37" spans="1:75" x14ac:dyDescent="0.15">
      <c r="A37" s="33">
        <v>575</v>
      </c>
      <c r="B37" s="26">
        <v>41927</v>
      </c>
      <c r="C37" s="27" t="s">
        <v>92</v>
      </c>
      <c r="D37" s="24" t="s">
        <v>11</v>
      </c>
      <c r="E37" s="24"/>
      <c r="F37" s="24" t="s">
        <v>17</v>
      </c>
      <c r="G37" s="28">
        <v>41880</v>
      </c>
      <c r="H37" s="29" t="s">
        <v>46</v>
      </c>
      <c r="I37" s="29" t="s">
        <v>8</v>
      </c>
      <c r="J37" s="29"/>
      <c r="K37" s="24" t="s">
        <v>24</v>
      </c>
      <c r="L37" s="24" t="s">
        <v>35</v>
      </c>
      <c r="M37" s="24">
        <v>89.6</v>
      </c>
      <c r="N37" s="24">
        <v>52.42</v>
      </c>
      <c r="O37" s="24"/>
      <c r="P37" s="25"/>
      <c r="Q37" s="24"/>
      <c r="R37" s="25"/>
      <c r="S37" s="24"/>
      <c r="T37" s="25"/>
      <c r="U37" s="24"/>
      <c r="V37" s="24"/>
      <c r="W37" s="24">
        <v>25.3</v>
      </c>
      <c r="X37" s="25"/>
      <c r="Y37" s="24"/>
      <c r="Z37" s="25"/>
      <c r="AA37" s="24"/>
      <c r="AB37" s="25"/>
      <c r="AC37" s="24"/>
      <c r="AD37" s="24"/>
      <c r="AE37" s="24"/>
      <c r="AF37" s="24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 t="s">
        <v>20</v>
      </c>
      <c r="AS37" s="29" t="s">
        <v>8</v>
      </c>
      <c r="AT37" s="29"/>
      <c r="AU37" s="29"/>
      <c r="AV37" s="29" t="s">
        <v>37</v>
      </c>
      <c r="AW37" s="29">
        <v>15</v>
      </c>
      <c r="AX37" s="29" t="s">
        <v>103</v>
      </c>
      <c r="AY37" s="24"/>
      <c r="AZ37" s="29">
        <v>0</v>
      </c>
      <c r="BA37" s="29">
        <v>18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24</v>
      </c>
      <c r="BK37" s="29" t="s">
        <v>46</v>
      </c>
      <c r="BL37" s="29"/>
      <c r="BM37" s="29" t="s">
        <v>8</v>
      </c>
      <c r="BN37" s="29"/>
      <c r="BO37" s="29"/>
      <c r="BP37" s="29"/>
      <c r="BQ37" s="24"/>
      <c r="BR37" s="24"/>
      <c r="BS37" s="29"/>
      <c r="BT37" s="29" t="s">
        <v>8</v>
      </c>
      <c r="BU37" s="24"/>
      <c r="BV37" s="66" t="s">
        <v>76</v>
      </c>
      <c r="BW37" s="67" t="s">
        <v>77</v>
      </c>
    </row>
    <row r="38" spans="1:75" x14ac:dyDescent="0.15">
      <c r="A38" s="33">
        <v>3066</v>
      </c>
      <c r="B38" s="26">
        <v>41927</v>
      </c>
      <c r="C38" s="27" t="s">
        <v>92</v>
      </c>
      <c r="D38" s="24" t="s">
        <v>11</v>
      </c>
      <c r="E38" s="24"/>
      <c r="F38" s="24" t="s">
        <v>17</v>
      </c>
      <c r="G38" s="28">
        <v>41912</v>
      </c>
      <c r="H38" s="29" t="s">
        <v>46</v>
      </c>
      <c r="I38" s="29" t="s">
        <v>8</v>
      </c>
      <c r="J38" s="29"/>
      <c r="K38" s="24" t="s">
        <v>302</v>
      </c>
      <c r="L38" s="24" t="s">
        <v>359</v>
      </c>
      <c r="M38" s="24">
        <v>86.36</v>
      </c>
      <c r="N38" s="24">
        <v>37.1</v>
      </c>
      <c r="O38" s="24" t="s">
        <v>3</v>
      </c>
      <c r="P38" s="25">
        <v>2500</v>
      </c>
      <c r="Q38" s="24">
        <v>37.1</v>
      </c>
      <c r="R38" s="25"/>
      <c r="S38" s="24"/>
      <c r="T38" s="25"/>
      <c r="U38" s="24"/>
      <c r="V38" s="24"/>
      <c r="W38" s="24">
        <v>27.4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t="s">
        <v>20</v>
      </c>
      <c r="AS38" s="29" t="s">
        <v>8</v>
      </c>
      <c r="AT38" s="29"/>
      <c r="AU38" s="29"/>
      <c r="AV38" s="29" t="s">
        <v>37</v>
      </c>
      <c r="AW38" s="29">
        <v>16</v>
      </c>
      <c r="AX38" s="29" t="s">
        <v>361</v>
      </c>
      <c r="AY38" s="24"/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/>
      <c r="BK38" s="29" t="s">
        <v>8</v>
      </c>
      <c r="BL38" s="29"/>
      <c r="BM38" s="29" t="s">
        <v>8</v>
      </c>
      <c r="BN38" s="29"/>
      <c r="BO38" s="29"/>
      <c r="BP38" s="29"/>
      <c r="BQ38" s="24"/>
      <c r="BR38" s="24"/>
      <c r="BS38" s="29"/>
      <c r="BT38" s="29" t="s">
        <v>8</v>
      </c>
      <c r="BU38" s="24"/>
      <c r="BV38" t="s">
        <v>76</v>
      </c>
      <c r="BW38" s="32" t="s">
        <v>39</v>
      </c>
    </row>
    <row r="39" spans="1:75" x14ac:dyDescent="0.15">
      <c r="A39" s="33">
        <v>924</v>
      </c>
      <c r="B39" s="26">
        <v>41927</v>
      </c>
      <c r="C39" s="27" t="s">
        <v>92</v>
      </c>
      <c r="D39" s="24" t="s">
        <v>11</v>
      </c>
      <c r="E39" s="24"/>
      <c r="F39" s="24" t="s">
        <v>17</v>
      </c>
      <c r="G39" s="28">
        <v>41881</v>
      </c>
      <c r="H39" s="29" t="s">
        <v>46</v>
      </c>
      <c r="I39" s="29" t="s">
        <v>8</v>
      </c>
      <c r="J39" s="29"/>
      <c r="K39" s="24" t="s">
        <v>53</v>
      </c>
      <c r="L39" s="24" t="s">
        <v>54</v>
      </c>
      <c r="M39" s="24">
        <v>103.03</v>
      </c>
      <c r="N39" s="24">
        <v>44.42</v>
      </c>
      <c r="O39" s="24" t="s">
        <v>3</v>
      </c>
      <c r="P39" s="25">
        <v>1200</v>
      </c>
      <c r="Q39" s="24">
        <v>44.42</v>
      </c>
      <c r="R39" s="25"/>
      <c r="S39" s="24"/>
      <c r="T39" s="25"/>
      <c r="U39" s="24"/>
      <c r="V39" s="24"/>
      <c r="W39" s="24">
        <v>26.49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20</v>
      </c>
      <c r="AS39" s="29" t="s">
        <v>8</v>
      </c>
      <c r="AT39" s="29"/>
      <c r="AU39" s="29"/>
      <c r="AV39" s="29" t="s">
        <v>37</v>
      </c>
      <c r="AW39" s="29">
        <v>6.8</v>
      </c>
      <c r="AX39" s="29" t="s">
        <v>8</v>
      </c>
      <c r="AY39" s="24"/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12</v>
      </c>
      <c r="BK39" s="29" t="s">
        <v>46</v>
      </c>
      <c r="BL39" s="29"/>
      <c r="BM39" s="29" t="s">
        <v>8</v>
      </c>
      <c r="BN39" s="29"/>
      <c r="BO39" s="29"/>
      <c r="BP39" s="29"/>
      <c r="BQ39" s="24"/>
      <c r="BR39" s="24"/>
      <c r="BS39" s="29"/>
      <c r="BT39" s="29" t="s">
        <v>8</v>
      </c>
      <c r="BU39" s="24" t="s">
        <v>56</v>
      </c>
      <c r="BV39" s="66" t="s">
        <v>76</v>
      </c>
      <c r="BW39" s="67" t="s">
        <v>77</v>
      </c>
    </row>
    <row r="40" spans="1:75" x14ac:dyDescent="0.15">
      <c r="A40" s="33">
        <v>1151</v>
      </c>
      <c r="B40" s="26">
        <v>41927</v>
      </c>
      <c r="C40" s="27" t="s">
        <v>92</v>
      </c>
      <c r="D40" s="24" t="s">
        <v>11</v>
      </c>
      <c r="E40" s="24"/>
      <c r="F40" s="24" t="s">
        <v>17</v>
      </c>
      <c r="G40" s="28">
        <v>41914</v>
      </c>
      <c r="H40" s="29" t="s">
        <v>46</v>
      </c>
      <c r="I40" s="29" t="s">
        <v>8</v>
      </c>
      <c r="J40" s="29"/>
      <c r="K40" s="24" t="s">
        <v>10</v>
      </c>
      <c r="L40" s="24" t="s">
        <v>60</v>
      </c>
      <c r="M40" s="24">
        <v>89.68</v>
      </c>
      <c r="N40" s="24">
        <v>42.06</v>
      </c>
      <c r="O40" s="24"/>
      <c r="P40" s="25"/>
      <c r="Q40" s="24"/>
      <c r="R40" s="25"/>
      <c r="S40" s="24"/>
      <c r="T40" s="25"/>
      <c r="U40" s="24"/>
      <c r="V40" s="24"/>
      <c r="W40" s="24">
        <v>27.31</v>
      </c>
      <c r="X40" s="24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 t="s">
        <v>20</v>
      </c>
      <c r="AS40" s="29" t="s">
        <v>8</v>
      </c>
      <c r="AT40" s="29"/>
      <c r="AU40" s="29"/>
      <c r="AV40" s="29" t="s">
        <v>37</v>
      </c>
      <c r="AW40" s="29">
        <v>10</v>
      </c>
      <c r="AX40" s="29" t="s">
        <v>103</v>
      </c>
      <c r="AY40" s="24"/>
      <c r="AZ40" s="29">
        <v>0</v>
      </c>
      <c r="BA40" s="29">
        <v>16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12</v>
      </c>
      <c r="BK40" s="29" t="s">
        <v>46</v>
      </c>
      <c r="BL40" s="29"/>
      <c r="BM40" s="29" t="s">
        <v>8</v>
      </c>
      <c r="BN40" s="29"/>
      <c r="BO40" s="29"/>
      <c r="BP40" s="29"/>
      <c r="BQ40" s="30"/>
      <c r="BR40" s="30"/>
      <c r="BS40" s="29"/>
      <c r="BT40" s="29" t="s">
        <v>8</v>
      </c>
      <c r="BU40" s="30" t="s">
        <v>61</v>
      </c>
      <c r="BV40" s="66" t="s">
        <v>76</v>
      </c>
      <c r="BW40" s="32" t="s">
        <v>39</v>
      </c>
    </row>
    <row r="41" spans="1:75" x14ac:dyDescent="0.15">
      <c r="A41" s="33">
        <v>3826</v>
      </c>
      <c r="B41" s="26">
        <v>41927</v>
      </c>
      <c r="C41" s="27" t="s">
        <v>92</v>
      </c>
      <c r="D41" s="24" t="s">
        <v>11</v>
      </c>
      <c r="E41" s="24"/>
      <c r="F41" s="24" t="s">
        <v>17</v>
      </c>
      <c r="G41" s="28">
        <v>41867</v>
      </c>
      <c r="H41" s="29" t="s">
        <v>46</v>
      </c>
      <c r="I41" s="29" t="s">
        <v>8</v>
      </c>
      <c r="J41" s="29"/>
      <c r="K41" s="24" t="s">
        <v>64</v>
      </c>
      <c r="L41" s="24" t="s">
        <v>446</v>
      </c>
      <c r="M41" s="24">
        <v>91</v>
      </c>
      <c r="N41" s="24">
        <v>42.9</v>
      </c>
      <c r="O41" s="24"/>
      <c r="P41" s="25"/>
      <c r="Q41" s="24"/>
      <c r="R41" s="25"/>
      <c r="S41" s="24"/>
      <c r="T41" s="25"/>
      <c r="U41" s="24"/>
      <c r="V41" s="24"/>
      <c r="W41" s="24">
        <v>27.9</v>
      </c>
      <c r="X41" s="24"/>
      <c r="Y41" s="24"/>
      <c r="Z41" s="25"/>
      <c r="AA41" s="24"/>
      <c r="AB41" s="25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 t="s">
        <v>20</v>
      </c>
      <c r="AS41" s="29" t="s">
        <v>8</v>
      </c>
      <c r="AT41" s="29"/>
      <c r="AU41" s="29"/>
      <c r="AV41" s="29" t="s">
        <v>37</v>
      </c>
      <c r="AW41" s="29">
        <v>16.3</v>
      </c>
      <c r="AX41" s="29" t="s">
        <v>103</v>
      </c>
      <c r="AY41" s="24"/>
      <c r="AZ41" s="29">
        <v>0</v>
      </c>
      <c r="BA41" s="29">
        <v>16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/>
      <c r="BK41" s="29" t="s">
        <v>8</v>
      </c>
      <c r="BL41" s="29">
        <v>24</v>
      </c>
      <c r="BM41" s="29" t="s">
        <v>8</v>
      </c>
      <c r="BN41" s="29"/>
      <c r="BO41" s="29"/>
      <c r="BP41" s="29"/>
      <c r="BQ41" s="30"/>
      <c r="BR41" s="30"/>
      <c r="BS41" s="29"/>
      <c r="BT41" s="29" t="s">
        <v>8</v>
      </c>
      <c r="BU41" s="24"/>
      <c r="BV41" t="s">
        <v>76</v>
      </c>
      <c r="BW41" s="32" t="s">
        <v>32</v>
      </c>
    </row>
    <row r="42" spans="1:75" x14ac:dyDescent="0.15">
      <c r="A42" s="33">
        <v>1481</v>
      </c>
      <c r="B42" s="26">
        <v>41927</v>
      </c>
      <c r="C42" s="27" t="s">
        <v>92</v>
      </c>
      <c r="D42" s="24" t="s">
        <v>11</v>
      </c>
      <c r="E42" s="24"/>
      <c r="F42" s="24" t="s">
        <v>17</v>
      </c>
      <c r="G42" s="28">
        <v>41912</v>
      </c>
      <c r="H42" s="29" t="s">
        <v>46</v>
      </c>
      <c r="I42" s="29" t="s">
        <v>8</v>
      </c>
      <c r="J42" s="29"/>
      <c r="K42" s="24" t="s">
        <v>68</v>
      </c>
      <c r="L42" s="24" t="s">
        <v>429</v>
      </c>
      <c r="M42" s="24">
        <v>100.5</v>
      </c>
      <c r="N42" s="24">
        <v>44.6</v>
      </c>
      <c r="O42" s="24"/>
      <c r="P42" s="25"/>
      <c r="Q42" s="24"/>
      <c r="R42" s="25"/>
      <c r="S42" s="24"/>
      <c r="T42" s="25"/>
      <c r="U42" s="24"/>
      <c r="V42" s="24"/>
      <c r="W42" s="24">
        <v>32.85</v>
      </c>
      <c r="X42" s="24"/>
      <c r="Y42" s="24"/>
      <c r="Z42" s="24"/>
      <c r="AA42" s="24"/>
      <c r="AB42" s="24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 t="s">
        <v>20</v>
      </c>
      <c r="AS42" s="29" t="s">
        <v>8</v>
      </c>
      <c r="AT42" s="29"/>
      <c r="AU42" s="29"/>
      <c r="AV42" s="29" t="s">
        <v>37</v>
      </c>
      <c r="AW42" s="29">
        <v>16</v>
      </c>
      <c r="AX42" s="29" t="s">
        <v>103</v>
      </c>
      <c r="AY42" s="24"/>
      <c r="AZ42" s="29">
        <v>0</v>
      </c>
      <c r="BA42" s="29">
        <v>0</v>
      </c>
      <c r="BB42" s="29">
        <v>10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/>
      <c r="BK42" s="29" t="s">
        <v>8</v>
      </c>
      <c r="BL42" s="29"/>
      <c r="BM42" s="29" t="s">
        <v>8</v>
      </c>
      <c r="BN42" s="29"/>
      <c r="BO42" s="29"/>
      <c r="BP42" s="29"/>
      <c r="BQ42" s="24"/>
      <c r="BR42" s="24"/>
      <c r="BS42" s="29"/>
      <c r="BT42" s="29" t="s">
        <v>8</v>
      </c>
      <c r="BU42" s="24"/>
      <c r="BV42" t="s">
        <v>76</v>
      </c>
      <c r="BW42" s="67" t="s">
        <v>39</v>
      </c>
    </row>
    <row r="43" spans="1:75" x14ac:dyDescent="0.15">
      <c r="A43" s="33">
        <v>2138</v>
      </c>
      <c r="B43" s="26">
        <v>41927</v>
      </c>
      <c r="C43" s="27" t="s">
        <v>92</v>
      </c>
      <c r="D43" s="24" t="s">
        <v>11</v>
      </c>
      <c r="E43" s="24"/>
      <c r="F43" s="24" t="s">
        <v>17</v>
      </c>
      <c r="G43" s="31">
        <v>41921</v>
      </c>
      <c r="H43" s="29" t="s">
        <v>46</v>
      </c>
      <c r="I43" s="29" t="s">
        <v>8</v>
      </c>
      <c r="J43" s="29"/>
      <c r="K43" s="24" t="s">
        <v>72</v>
      </c>
      <c r="L43" s="24" t="s">
        <v>447</v>
      </c>
      <c r="M43" s="24">
        <v>100.46</v>
      </c>
      <c r="N43" s="24">
        <v>48.7</v>
      </c>
      <c r="O43" s="24"/>
      <c r="P43" s="25"/>
      <c r="Q43" s="24"/>
      <c r="R43" s="25"/>
      <c r="S43" s="24"/>
      <c r="T43" s="25"/>
      <c r="U43" s="24"/>
      <c r="V43" s="24"/>
      <c r="W43" s="24">
        <v>28.15</v>
      </c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 t="s">
        <v>20</v>
      </c>
      <c r="AS43" s="29" t="s">
        <v>8</v>
      </c>
      <c r="AT43" s="29"/>
      <c r="AU43" s="29"/>
      <c r="AV43" s="29" t="s">
        <v>37</v>
      </c>
      <c r="AW43" s="29">
        <v>10</v>
      </c>
      <c r="AX43" s="29" t="s">
        <v>8</v>
      </c>
      <c r="AY43" s="24"/>
      <c r="AZ43" s="29">
        <v>0</v>
      </c>
      <c r="BA43" s="29">
        <v>15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/>
      <c r="BK43" s="74" t="s">
        <v>174</v>
      </c>
      <c r="BL43" s="29">
        <v>24</v>
      </c>
      <c r="BM43" s="29" t="s">
        <v>8</v>
      </c>
      <c r="BN43" s="29"/>
      <c r="BO43" s="29"/>
      <c r="BP43" s="29"/>
      <c r="BQ43" s="30" t="s">
        <v>15</v>
      </c>
      <c r="BR43" s="30" t="s">
        <v>75</v>
      </c>
      <c r="BS43" s="29">
        <v>50</v>
      </c>
      <c r="BT43" s="29" t="s">
        <v>8</v>
      </c>
      <c r="BU43" s="24"/>
      <c r="BV43" t="s">
        <v>16</v>
      </c>
      <c r="BW43" s="67" t="s">
        <v>39</v>
      </c>
    </row>
    <row r="44" spans="1:75" x14ac:dyDescent="0.15">
      <c r="A44" s="33">
        <v>3581</v>
      </c>
      <c r="B44" s="26">
        <v>41927</v>
      </c>
      <c r="C44" s="27" t="s">
        <v>377</v>
      </c>
      <c r="D44" s="24" t="s">
        <v>378</v>
      </c>
      <c r="E44" s="24"/>
      <c r="F44" s="24" t="s">
        <v>417</v>
      </c>
      <c r="G44" s="28">
        <v>41801</v>
      </c>
      <c r="H44" s="29" t="s">
        <v>8</v>
      </c>
      <c r="I44" s="29" t="s">
        <v>96</v>
      </c>
      <c r="J44" s="29"/>
      <c r="K44" s="24" t="s">
        <v>434</v>
      </c>
      <c r="L44" s="68" t="s">
        <v>448</v>
      </c>
      <c r="M44" s="24">
        <v>80</v>
      </c>
      <c r="N44" s="24">
        <v>33.6</v>
      </c>
      <c r="O44" s="24"/>
      <c r="P44" s="25"/>
      <c r="Q44" s="24"/>
      <c r="R44" s="25"/>
      <c r="S44" s="24"/>
      <c r="T44" s="25"/>
      <c r="U44" s="24"/>
      <c r="V44" s="24"/>
      <c r="W44" s="24">
        <v>21.78</v>
      </c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 t="s">
        <v>418</v>
      </c>
      <c r="AS44" s="29" t="s">
        <v>174</v>
      </c>
      <c r="AT44" s="29"/>
      <c r="AU44" s="29"/>
      <c r="AV44" s="29"/>
      <c r="AW44" s="29"/>
      <c r="AX44" s="29" t="s">
        <v>103</v>
      </c>
      <c r="AY44" s="24"/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24</v>
      </c>
      <c r="BK44" s="29" t="s">
        <v>46</v>
      </c>
      <c r="BL44" s="29"/>
      <c r="BM44" s="29" t="s">
        <v>8</v>
      </c>
      <c r="BN44" s="29"/>
      <c r="BO44" s="29"/>
      <c r="BP44" s="29"/>
      <c r="BQ44" s="24"/>
      <c r="BR44" s="24"/>
      <c r="BS44" s="29"/>
      <c r="BT44" s="29" t="s">
        <v>8</v>
      </c>
      <c r="BU44" s="24" t="s">
        <v>449</v>
      </c>
      <c r="BV44" s="66" t="s">
        <v>76</v>
      </c>
      <c r="BW44" s="67" t="s">
        <v>77</v>
      </c>
    </row>
    <row r="45" spans="1:75" x14ac:dyDescent="0.15">
      <c r="A45" s="33">
        <v>3118</v>
      </c>
      <c r="B45" s="26">
        <v>41927</v>
      </c>
      <c r="C45" s="27" t="s">
        <v>92</v>
      </c>
      <c r="D45" s="24" t="s">
        <v>11</v>
      </c>
      <c r="E45" s="24"/>
      <c r="F45" s="24" t="s">
        <v>17</v>
      </c>
      <c r="G45" s="28">
        <v>41880</v>
      </c>
      <c r="H45" s="29" t="s">
        <v>175</v>
      </c>
      <c r="I45" s="29" t="s">
        <v>174</v>
      </c>
      <c r="J45" s="29"/>
      <c r="K45" s="24" t="s">
        <v>437</v>
      </c>
      <c r="L45" s="24" t="s">
        <v>438</v>
      </c>
      <c r="M45" s="24">
        <v>82.5</v>
      </c>
      <c r="N45" s="24">
        <v>47.9</v>
      </c>
      <c r="O45" s="24"/>
      <c r="P45" s="25"/>
      <c r="Q45" s="24"/>
      <c r="R45" s="25"/>
      <c r="S45" s="24"/>
      <c r="T45" s="25"/>
      <c r="U45" s="24"/>
      <c r="V45" s="24"/>
      <c r="W45" s="24">
        <v>39.700000000000003</v>
      </c>
      <c r="X45" s="25"/>
      <c r="Y45" s="24"/>
      <c r="Z45" s="25"/>
      <c r="AA45" s="24"/>
      <c r="AB45" s="25"/>
      <c r="AC45" s="24"/>
      <c r="AD45" s="24"/>
      <c r="AE45" s="24"/>
      <c r="AF45" s="24"/>
      <c r="AG45" s="25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 t="s">
        <v>20</v>
      </c>
      <c r="AS45" s="29" t="s">
        <v>174</v>
      </c>
      <c r="AT45" s="29"/>
      <c r="AU45" s="29"/>
      <c r="AV45" s="29" t="s">
        <v>382</v>
      </c>
      <c r="AW45" s="29">
        <v>10</v>
      </c>
      <c r="AX45" s="29" t="s">
        <v>174</v>
      </c>
      <c r="AY45" s="24"/>
      <c r="AZ45" s="29">
        <v>0</v>
      </c>
      <c r="BA45" s="29">
        <v>0</v>
      </c>
      <c r="BB45" s="29">
        <v>16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/>
      <c r="BK45" s="29" t="s">
        <v>8</v>
      </c>
      <c r="BL45" s="29"/>
      <c r="BM45" s="29" t="s">
        <v>8</v>
      </c>
      <c r="BN45" s="29"/>
      <c r="BO45" s="29"/>
      <c r="BP45" s="29"/>
      <c r="BQ45" s="30"/>
      <c r="BR45" s="30"/>
      <c r="BS45" s="29"/>
      <c r="BT45" s="29" t="s">
        <v>8</v>
      </c>
      <c r="BU45" s="24" t="s">
        <v>439</v>
      </c>
      <c r="BV45" t="s">
        <v>76</v>
      </c>
      <c r="BW45" s="32" t="s">
        <v>77</v>
      </c>
    </row>
    <row r="46" spans="1:75" x14ac:dyDescent="0.15">
      <c r="A46" s="33">
        <v>4149</v>
      </c>
      <c r="B46" s="26">
        <v>41927</v>
      </c>
      <c r="C46" s="27" t="s">
        <v>92</v>
      </c>
      <c r="D46" s="24" t="s">
        <v>11</v>
      </c>
      <c r="E46" s="24"/>
      <c r="F46" s="24" t="s">
        <v>17</v>
      </c>
      <c r="G46" s="28">
        <v>41881</v>
      </c>
      <c r="H46" s="29" t="s">
        <v>46</v>
      </c>
      <c r="I46" s="29" t="s">
        <v>8</v>
      </c>
      <c r="J46" s="29"/>
      <c r="K46" s="24" t="s">
        <v>450</v>
      </c>
      <c r="L46" s="24" t="s">
        <v>451</v>
      </c>
      <c r="M46" s="24">
        <v>95</v>
      </c>
      <c r="N46" s="24">
        <v>41</v>
      </c>
      <c r="O46" s="24"/>
      <c r="P46" s="25"/>
      <c r="Q46" s="24"/>
      <c r="R46" s="25"/>
      <c r="S46" s="24"/>
      <c r="T46" s="25"/>
      <c r="U46" s="24"/>
      <c r="V46" s="24"/>
      <c r="W46" s="24">
        <v>32</v>
      </c>
      <c r="X46" s="24"/>
      <c r="Y46" s="24"/>
      <c r="Z46" s="24"/>
      <c r="AA46" s="24"/>
      <c r="AB46" s="24"/>
      <c r="AC46" s="24"/>
      <c r="AD46" s="24"/>
      <c r="AE46" s="24"/>
      <c r="AF46" s="24"/>
      <c r="AG46" s="25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 t="s">
        <v>20</v>
      </c>
      <c r="AS46" s="29" t="s">
        <v>8</v>
      </c>
      <c r="AT46" s="29"/>
      <c r="AU46" s="29"/>
      <c r="AV46" s="29" t="s">
        <v>37</v>
      </c>
      <c r="AW46" s="29">
        <v>10</v>
      </c>
      <c r="AX46" s="29" t="s">
        <v>103</v>
      </c>
      <c r="AY46" s="24"/>
      <c r="AZ46" s="29">
        <v>0</v>
      </c>
      <c r="BA46" s="29">
        <v>0</v>
      </c>
      <c r="BB46" s="29">
        <v>7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24</v>
      </c>
      <c r="BK46" s="29" t="s">
        <v>8</v>
      </c>
      <c r="BL46" s="29"/>
      <c r="BM46" s="29" t="s">
        <v>8</v>
      </c>
      <c r="BN46" s="29"/>
      <c r="BO46" s="29"/>
      <c r="BP46" s="29"/>
      <c r="BQ46" s="24"/>
      <c r="BR46" s="24"/>
      <c r="BS46" s="29"/>
      <c r="BT46" s="29" t="s">
        <v>8</v>
      </c>
      <c r="BU46" s="24"/>
      <c r="BV46" s="66" t="s">
        <v>76</v>
      </c>
      <c r="BW46" s="32" t="s">
        <v>452</v>
      </c>
    </row>
  </sheetData>
  <sheetProtection algorithmName="SHA-512" hashValue="Rbuz4zMyzVLXYdeEfUclUZeU1Q1CUEHuBV2BCkkGqRhzg6VMzUdoXE7DfzVXyI4lYyvQDIpDKllzHzojK5x7/w==" saltValue="Na5ObAuuxJPwjqMq5PqTKQ==" spinCount="100000" sheet="1" objects="1" scenarios="1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9F4B5-BCA6-834E-80EE-FE3F5EA7AE66}">
  <sheetPr codeName="Sheet14"/>
  <dimension ref="A1:BW48"/>
  <sheetViews>
    <sheetView topLeftCell="A63"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75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4" t="s">
        <v>420</v>
      </c>
      <c r="BP1" s="4" t="s">
        <v>421</v>
      </c>
      <c r="BQ1" s="2" t="s">
        <v>184</v>
      </c>
      <c r="BR1" s="2" t="s">
        <v>185</v>
      </c>
      <c r="BS1" s="4" t="s">
        <v>186</v>
      </c>
      <c r="BT1" s="4" t="s">
        <v>187</v>
      </c>
      <c r="BU1" s="2" t="s">
        <v>188</v>
      </c>
    </row>
    <row r="2" spans="1:75" x14ac:dyDescent="0.15">
      <c r="A2" s="33">
        <v>90</v>
      </c>
      <c r="B2" s="26">
        <v>41741</v>
      </c>
      <c r="C2" s="27" t="s">
        <v>92</v>
      </c>
      <c r="D2" s="24" t="s">
        <v>11</v>
      </c>
      <c r="E2" s="24"/>
      <c r="F2" s="24" t="s">
        <v>33</v>
      </c>
      <c r="G2" s="28">
        <v>41608</v>
      </c>
      <c r="H2" s="29" t="s">
        <v>46</v>
      </c>
      <c r="I2" s="29" t="s">
        <v>8</v>
      </c>
      <c r="J2" s="29"/>
      <c r="K2" s="24" t="s">
        <v>80</v>
      </c>
      <c r="L2" s="24" t="s">
        <v>98</v>
      </c>
      <c r="M2" s="24">
        <v>91</v>
      </c>
      <c r="N2" s="24">
        <v>43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36</v>
      </c>
      <c r="AS2" s="29" t="s">
        <v>174</v>
      </c>
      <c r="AT2" s="29"/>
      <c r="AU2" s="29"/>
      <c r="AV2" s="29" t="s">
        <v>37</v>
      </c>
      <c r="AW2" s="29">
        <v>16.3</v>
      </c>
      <c r="AX2" s="29" t="s">
        <v>103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8</v>
      </c>
      <c r="BL2" s="29">
        <v>24</v>
      </c>
      <c r="BM2" s="29" t="s">
        <v>8</v>
      </c>
      <c r="BN2" s="29"/>
      <c r="BO2" s="29"/>
      <c r="BP2" s="29"/>
      <c r="BQ2" s="30"/>
      <c r="BR2" s="30"/>
      <c r="BS2" s="29"/>
      <c r="BT2" s="29" t="s">
        <v>8</v>
      </c>
      <c r="BU2" s="24"/>
      <c r="BV2" t="s">
        <v>422</v>
      </c>
      <c r="BW2" s="32" t="s">
        <v>77</v>
      </c>
    </row>
    <row r="3" spans="1:75" x14ac:dyDescent="0.15">
      <c r="A3" s="33">
        <v>2589</v>
      </c>
      <c r="B3" s="26">
        <v>41741</v>
      </c>
      <c r="C3" s="27" t="s">
        <v>92</v>
      </c>
      <c r="D3" s="24" t="s">
        <v>11</v>
      </c>
      <c r="E3" s="24"/>
      <c r="F3" s="24" t="s">
        <v>33</v>
      </c>
      <c r="G3" s="31">
        <v>41477</v>
      </c>
      <c r="H3" s="29" t="s">
        <v>8</v>
      </c>
      <c r="I3" s="29" t="s">
        <v>96</v>
      </c>
      <c r="J3" s="29"/>
      <c r="K3" s="24" t="s">
        <v>110</v>
      </c>
      <c r="L3" s="24" t="s">
        <v>327</v>
      </c>
      <c r="M3" s="24">
        <v>98.22</v>
      </c>
      <c r="N3" s="24">
        <v>44.33</v>
      </c>
      <c r="O3" s="24" t="s">
        <v>3</v>
      </c>
      <c r="P3" s="25">
        <v>2500</v>
      </c>
      <c r="Q3" s="24">
        <v>44.89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36</v>
      </c>
      <c r="AS3" s="29" t="s">
        <v>8</v>
      </c>
      <c r="AT3" s="29"/>
      <c r="AU3" s="29"/>
      <c r="AV3" s="29"/>
      <c r="AW3" s="29"/>
      <c r="AX3" s="29" t="s">
        <v>8</v>
      </c>
      <c r="AY3" s="24"/>
      <c r="AZ3" s="29">
        <v>0</v>
      </c>
      <c r="BA3" s="29">
        <v>0</v>
      </c>
      <c r="BB3" s="29">
        <v>0</v>
      </c>
      <c r="BC3" s="29">
        <v>28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8</v>
      </c>
      <c r="BL3" s="29">
        <v>24</v>
      </c>
      <c r="BM3" s="29" t="s">
        <v>8</v>
      </c>
      <c r="BN3" s="29"/>
      <c r="BO3" s="29"/>
      <c r="BP3" s="29"/>
      <c r="BQ3" s="24"/>
      <c r="BR3" s="24"/>
      <c r="BS3" s="29"/>
      <c r="BT3" s="29" t="s">
        <v>8</v>
      </c>
      <c r="BU3" s="24"/>
      <c r="BV3" t="s">
        <v>423</v>
      </c>
      <c r="BW3" s="32" t="s">
        <v>77</v>
      </c>
    </row>
    <row r="4" spans="1:75" x14ac:dyDescent="0.15">
      <c r="A4" s="33">
        <v>202</v>
      </c>
      <c r="B4" s="26">
        <v>41741</v>
      </c>
      <c r="C4" s="27" t="s">
        <v>92</v>
      </c>
      <c r="D4" s="24" t="s">
        <v>11</v>
      </c>
      <c r="E4" s="24"/>
      <c r="F4" s="24" t="s">
        <v>33</v>
      </c>
      <c r="G4" s="28">
        <v>41698</v>
      </c>
      <c r="H4" s="29" t="s">
        <v>8</v>
      </c>
      <c r="I4" s="29" t="s">
        <v>96</v>
      </c>
      <c r="J4" s="29"/>
      <c r="K4" s="24" t="s">
        <v>118</v>
      </c>
      <c r="L4" s="24" t="s">
        <v>119</v>
      </c>
      <c r="M4" s="24">
        <v>83.325000000000003</v>
      </c>
      <c r="N4" s="24">
        <v>46.46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36</v>
      </c>
      <c r="AS4" s="29" t="s">
        <v>8</v>
      </c>
      <c r="AT4" s="29"/>
      <c r="AU4" s="29"/>
      <c r="AV4" s="29"/>
      <c r="AW4" s="29"/>
      <c r="AX4" s="29" t="s">
        <v>8</v>
      </c>
      <c r="AY4" s="24"/>
      <c r="AZ4" s="29">
        <v>0</v>
      </c>
      <c r="BA4" s="29">
        <v>0</v>
      </c>
      <c r="BB4" s="29">
        <v>7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8</v>
      </c>
      <c r="BL4" s="29"/>
      <c r="BM4" s="29" t="s">
        <v>8</v>
      </c>
      <c r="BN4" s="29"/>
      <c r="BO4" s="29"/>
      <c r="BP4" s="29"/>
      <c r="BQ4" s="30"/>
      <c r="BR4" s="30"/>
      <c r="BS4" s="29"/>
      <c r="BT4" s="29" t="s">
        <v>8</v>
      </c>
      <c r="BU4" s="24" t="s">
        <v>120</v>
      </c>
      <c r="BV4" s="66" t="s">
        <v>76</v>
      </c>
      <c r="BW4" s="32" t="s">
        <v>77</v>
      </c>
    </row>
    <row r="5" spans="1:75" x14ac:dyDescent="0.15">
      <c r="A5" s="33">
        <v>242</v>
      </c>
      <c r="B5" s="26">
        <v>41741</v>
      </c>
      <c r="C5" s="27" t="s">
        <v>92</v>
      </c>
      <c r="D5" s="24" t="s">
        <v>11</v>
      </c>
      <c r="E5" s="24"/>
      <c r="F5" s="24" t="s">
        <v>33</v>
      </c>
      <c r="G5" s="28">
        <v>41495</v>
      </c>
      <c r="H5" s="29" t="s">
        <v>46</v>
      </c>
      <c r="I5" s="29" t="s">
        <v>8</v>
      </c>
      <c r="J5" s="29"/>
      <c r="K5" s="24" t="s">
        <v>124</v>
      </c>
      <c r="L5" s="24" t="s">
        <v>125</v>
      </c>
      <c r="M5" s="24">
        <v>89.5</v>
      </c>
      <c r="N5" s="24">
        <v>43.95</v>
      </c>
      <c r="O5" s="24"/>
      <c r="P5" s="25"/>
      <c r="Q5" s="24"/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36</v>
      </c>
      <c r="AS5" s="29" t="s">
        <v>8</v>
      </c>
      <c r="AT5" s="29"/>
      <c r="AU5" s="29"/>
      <c r="AV5" s="29" t="s">
        <v>37</v>
      </c>
      <c r="AW5" s="29">
        <v>11.6</v>
      </c>
      <c r="AX5" s="29" t="s">
        <v>8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8</v>
      </c>
      <c r="BL5" s="29"/>
      <c r="BM5" s="29" t="s">
        <v>8</v>
      </c>
      <c r="BN5" s="29"/>
      <c r="BO5" s="29"/>
      <c r="BP5" s="29"/>
      <c r="BQ5" s="30" t="s">
        <v>127</v>
      </c>
      <c r="BR5" s="24"/>
      <c r="BS5" s="29"/>
      <c r="BT5" s="29" t="s">
        <v>8</v>
      </c>
      <c r="BU5" s="24"/>
      <c r="BV5" t="s">
        <v>424</v>
      </c>
      <c r="BW5" s="32" t="s">
        <v>32</v>
      </c>
    </row>
    <row r="6" spans="1:75" x14ac:dyDescent="0.15">
      <c r="A6" s="33">
        <v>396</v>
      </c>
      <c r="B6" s="26">
        <v>41741</v>
      </c>
      <c r="C6" s="27" t="s">
        <v>92</v>
      </c>
      <c r="D6" s="24" t="s">
        <v>11</v>
      </c>
      <c r="E6" s="24"/>
      <c r="F6" s="24" t="s">
        <v>33</v>
      </c>
      <c r="G6" s="28">
        <v>41639</v>
      </c>
      <c r="H6" s="29" t="s">
        <v>46</v>
      </c>
      <c r="I6" s="29" t="s">
        <v>8</v>
      </c>
      <c r="J6" s="29"/>
      <c r="K6" s="24" t="s">
        <v>130</v>
      </c>
      <c r="L6" s="24" t="s">
        <v>131</v>
      </c>
      <c r="M6" s="24">
        <v>99.5</v>
      </c>
      <c r="N6" s="24">
        <v>38.9</v>
      </c>
      <c r="O6" s="24" t="s">
        <v>3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36</v>
      </c>
      <c r="AS6" s="29" t="s">
        <v>8</v>
      </c>
      <c r="AT6" s="29"/>
      <c r="AU6" s="29"/>
      <c r="AV6" s="29" t="s">
        <v>37</v>
      </c>
      <c r="AW6" s="29">
        <v>12</v>
      </c>
      <c r="AX6" s="29" t="s">
        <v>103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46</v>
      </c>
      <c r="BL6" s="29"/>
      <c r="BM6" s="29" t="s">
        <v>8</v>
      </c>
      <c r="BN6" s="29"/>
      <c r="BO6" s="29"/>
      <c r="BP6" s="29"/>
      <c r="BQ6" s="24"/>
      <c r="BR6" s="24"/>
      <c r="BS6" s="29"/>
      <c r="BT6" s="29" t="s">
        <v>8</v>
      </c>
      <c r="BU6" s="24" t="s">
        <v>136</v>
      </c>
      <c r="BV6" t="s">
        <v>76</v>
      </c>
      <c r="BW6" s="32" t="s">
        <v>32</v>
      </c>
    </row>
    <row r="7" spans="1:75" x14ac:dyDescent="0.15">
      <c r="A7" s="33">
        <v>574</v>
      </c>
      <c r="B7" s="26">
        <v>41741</v>
      </c>
      <c r="C7" s="27" t="s">
        <v>92</v>
      </c>
      <c r="D7" s="24" t="s">
        <v>11</v>
      </c>
      <c r="E7" s="24"/>
      <c r="F7" s="24" t="s">
        <v>33</v>
      </c>
      <c r="G7" s="28">
        <v>41667</v>
      </c>
      <c r="H7" s="29" t="s">
        <v>46</v>
      </c>
      <c r="I7" s="29" t="s">
        <v>8</v>
      </c>
      <c r="J7" s="29"/>
      <c r="K7" s="24" t="s">
        <v>24</v>
      </c>
      <c r="L7" s="24" t="s">
        <v>35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36</v>
      </c>
      <c r="AS7" s="29" t="s">
        <v>8</v>
      </c>
      <c r="AT7" s="29"/>
      <c r="AU7" s="29"/>
      <c r="AV7" s="29" t="s">
        <v>37</v>
      </c>
      <c r="AW7" s="29">
        <v>15</v>
      </c>
      <c r="AX7" s="29" t="s">
        <v>103</v>
      </c>
      <c r="AY7" s="24"/>
      <c r="AZ7" s="29">
        <v>0</v>
      </c>
      <c r="BA7" s="29">
        <v>16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46</v>
      </c>
      <c r="BL7" s="29"/>
      <c r="BM7" s="29" t="s">
        <v>8</v>
      </c>
      <c r="BN7" s="29"/>
      <c r="BO7" s="29"/>
      <c r="BP7" s="29"/>
      <c r="BQ7" s="24"/>
      <c r="BR7" s="24"/>
      <c r="BS7" s="29"/>
      <c r="BT7" s="29" t="s">
        <v>8</v>
      </c>
      <c r="BU7" s="24"/>
      <c r="BV7" s="66" t="s">
        <v>76</v>
      </c>
      <c r="BW7" s="67" t="s">
        <v>77</v>
      </c>
    </row>
    <row r="8" spans="1:75" x14ac:dyDescent="0.15">
      <c r="A8" s="33">
        <v>703</v>
      </c>
      <c r="B8" s="26">
        <v>41741</v>
      </c>
      <c r="C8" s="27" t="s">
        <v>92</v>
      </c>
      <c r="D8" s="24" t="s">
        <v>11</v>
      </c>
      <c r="E8" s="24"/>
      <c r="F8" s="24" t="s">
        <v>33</v>
      </c>
      <c r="G8" s="28">
        <v>41429</v>
      </c>
      <c r="H8" s="29" t="s">
        <v>46</v>
      </c>
      <c r="I8" s="29" t="s">
        <v>8</v>
      </c>
      <c r="J8" s="29"/>
      <c r="K8" s="24" t="s">
        <v>40</v>
      </c>
      <c r="L8" s="24" t="s">
        <v>41</v>
      </c>
      <c r="M8" s="24">
        <v>110</v>
      </c>
      <c r="N8" s="24">
        <v>43.52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t="s">
        <v>36</v>
      </c>
      <c r="AS8" s="29" t="s">
        <v>8</v>
      </c>
      <c r="AT8" s="29"/>
      <c r="AU8" s="29"/>
      <c r="AV8" s="29" t="s">
        <v>37</v>
      </c>
      <c r="AW8" s="29">
        <v>6.8</v>
      </c>
      <c r="AX8" s="29" t="s">
        <v>8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8</v>
      </c>
      <c r="BL8" s="29"/>
      <c r="BM8" s="29" t="s">
        <v>8</v>
      </c>
      <c r="BN8" s="29"/>
      <c r="BO8" s="29"/>
      <c r="BP8" s="29"/>
      <c r="BQ8" s="30"/>
      <c r="BR8" s="30"/>
      <c r="BS8" s="29"/>
      <c r="BT8" s="29" t="s">
        <v>8</v>
      </c>
      <c r="BU8" s="24"/>
      <c r="BV8" t="s">
        <v>425</v>
      </c>
      <c r="BW8" s="32" t="s">
        <v>77</v>
      </c>
    </row>
    <row r="9" spans="1:75" x14ac:dyDescent="0.15">
      <c r="A9" s="33">
        <v>3065</v>
      </c>
      <c r="B9" s="26">
        <v>41741</v>
      </c>
      <c r="C9" s="27" t="s">
        <v>92</v>
      </c>
      <c r="D9" s="24" t="s">
        <v>11</v>
      </c>
      <c r="E9" s="24"/>
      <c r="F9" s="24" t="s">
        <v>33</v>
      </c>
      <c r="G9" s="28">
        <v>41468</v>
      </c>
      <c r="H9" s="29" t="s">
        <v>46</v>
      </c>
      <c r="I9" s="29" t="s">
        <v>8</v>
      </c>
      <c r="J9" s="29"/>
      <c r="K9" s="24" t="s">
        <v>302</v>
      </c>
      <c r="L9" s="24" t="s">
        <v>359</v>
      </c>
      <c r="M9" s="24">
        <v>86.36</v>
      </c>
      <c r="N9" s="24">
        <v>33.299999999999997</v>
      </c>
      <c r="O9" s="24" t="s">
        <v>3</v>
      </c>
      <c r="P9" s="25">
        <v>2500</v>
      </c>
      <c r="Q9" s="24">
        <v>35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36</v>
      </c>
      <c r="AS9" s="29" t="s">
        <v>8</v>
      </c>
      <c r="AT9" s="29"/>
      <c r="AU9" s="29"/>
      <c r="AV9" s="29" t="s">
        <v>37</v>
      </c>
      <c r="AW9" s="29">
        <v>16</v>
      </c>
      <c r="AX9" s="29" t="s">
        <v>361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36</v>
      </c>
      <c r="BK9" s="29" t="s">
        <v>8</v>
      </c>
      <c r="BL9" s="29"/>
      <c r="BM9" s="29" t="s">
        <v>8</v>
      </c>
      <c r="BN9" s="29"/>
      <c r="BO9" s="29"/>
      <c r="BP9" s="29"/>
      <c r="BQ9" s="24"/>
      <c r="BR9" s="24"/>
      <c r="BS9" s="29"/>
      <c r="BT9" s="29" t="s">
        <v>8</v>
      </c>
      <c r="BU9" s="24"/>
      <c r="BV9" t="s">
        <v>426</v>
      </c>
      <c r="BW9" s="32" t="s">
        <v>77</v>
      </c>
    </row>
    <row r="10" spans="1:75" x14ac:dyDescent="0.15">
      <c r="A10" s="33">
        <v>923</v>
      </c>
      <c r="B10" s="26">
        <v>41741</v>
      </c>
      <c r="C10" s="27" t="s">
        <v>92</v>
      </c>
      <c r="D10" s="24" t="s">
        <v>11</v>
      </c>
      <c r="E10" s="24"/>
      <c r="F10" s="24" t="s">
        <v>33</v>
      </c>
      <c r="G10" s="28">
        <v>41563</v>
      </c>
      <c r="H10" s="29" t="s">
        <v>46</v>
      </c>
      <c r="I10" s="29" t="s">
        <v>8</v>
      </c>
      <c r="J10" s="29"/>
      <c r="K10" s="24" t="s">
        <v>53</v>
      </c>
      <c r="L10" s="24" t="s">
        <v>54</v>
      </c>
      <c r="M10" s="24">
        <v>88.74</v>
      </c>
      <c r="N10" s="24">
        <v>41.93</v>
      </c>
      <c r="O10" s="24" t="s">
        <v>3</v>
      </c>
      <c r="P10" s="25">
        <v>1200</v>
      </c>
      <c r="Q10" s="24">
        <v>41.09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36</v>
      </c>
      <c r="AS10" s="29" t="s">
        <v>8</v>
      </c>
      <c r="AT10" s="29"/>
      <c r="AU10" s="29"/>
      <c r="AV10" s="29" t="s">
        <v>37</v>
      </c>
      <c r="AW10" s="29">
        <v>6.8</v>
      </c>
      <c r="AX10" s="29" t="s">
        <v>8</v>
      </c>
      <c r="AY10" s="24"/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46</v>
      </c>
      <c r="BL10" s="29"/>
      <c r="BM10" s="29" t="s">
        <v>8</v>
      </c>
      <c r="BN10" s="29"/>
      <c r="BO10" s="29"/>
      <c r="BP10" s="29"/>
      <c r="BQ10" s="24"/>
      <c r="BR10" s="24"/>
      <c r="BS10" s="29"/>
      <c r="BT10" s="29" t="s">
        <v>8</v>
      </c>
      <c r="BU10" s="24" t="s">
        <v>56</v>
      </c>
      <c r="BV10" t="s">
        <v>427</v>
      </c>
      <c r="BW10" s="32" t="s">
        <v>77</v>
      </c>
    </row>
    <row r="11" spans="1:75" x14ac:dyDescent="0.15">
      <c r="A11" s="33">
        <v>1150</v>
      </c>
      <c r="B11" s="26">
        <v>41741</v>
      </c>
      <c r="C11" s="27" t="s">
        <v>92</v>
      </c>
      <c r="D11" s="24" t="s">
        <v>11</v>
      </c>
      <c r="E11" s="24"/>
      <c r="F11" s="24" t="s">
        <v>33</v>
      </c>
      <c r="G11" s="28">
        <v>41720</v>
      </c>
      <c r="H11" s="29" t="s">
        <v>46</v>
      </c>
      <c r="I11" s="29" t="s">
        <v>8</v>
      </c>
      <c r="J11" s="29"/>
      <c r="K11" s="24" t="s">
        <v>10</v>
      </c>
      <c r="L11" s="24" t="s">
        <v>60</v>
      </c>
      <c r="M11" s="24">
        <v>90.95</v>
      </c>
      <c r="N11" s="24">
        <v>40.33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J11" s="24"/>
      <c r="AK11" s="24"/>
      <c r="AL11" s="24"/>
      <c r="AM11" s="24"/>
      <c r="AN11" s="24"/>
      <c r="AO11" s="24"/>
      <c r="AP11" s="24"/>
      <c r="AQ11" s="24"/>
      <c r="AR11" s="24" t="s">
        <v>36</v>
      </c>
      <c r="AS11" s="29" t="s">
        <v>8</v>
      </c>
      <c r="AT11" s="29"/>
      <c r="AU11" s="29"/>
      <c r="AV11" s="29" t="s">
        <v>37</v>
      </c>
      <c r="AW11" s="29">
        <v>11</v>
      </c>
      <c r="AX11" s="29" t="s">
        <v>103</v>
      </c>
      <c r="AY11" s="24"/>
      <c r="AZ11" s="29">
        <v>0</v>
      </c>
      <c r="BA11" s="29">
        <v>16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12</v>
      </c>
      <c r="BK11" s="29" t="s">
        <v>46</v>
      </c>
      <c r="BL11" s="29"/>
      <c r="BM11" s="29" t="s">
        <v>8</v>
      </c>
      <c r="BN11" s="29"/>
      <c r="BO11" s="29"/>
      <c r="BP11" s="29"/>
      <c r="BQ11" s="24"/>
      <c r="BR11" s="24"/>
      <c r="BS11" s="29"/>
      <c r="BT11" s="29" t="s">
        <v>8</v>
      </c>
      <c r="BU11" s="30" t="s">
        <v>61</v>
      </c>
      <c r="BV11" s="66" t="s">
        <v>76</v>
      </c>
      <c r="BW11" s="67" t="s">
        <v>39</v>
      </c>
    </row>
    <row r="12" spans="1:75" x14ac:dyDescent="0.15">
      <c r="A12" s="33">
        <v>1324</v>
      </c>
      <c r="B12" s="26">
        <v>41741</v>
      </c>
      <c r="C12" s="27" t="s">
        <v>92</v>
      </c>
      <c r="D12" s="24" t="s">
        <v>11</v>
      </c>
      <c r="E12" s="24"/>
      <c r="F12" s="24" t="s">
        <v>33</v>
      </c>
      <c r="G12" s="28">
        <v>41608</v>
      </c>
      <c r="H12" s="29" t="s">
        <v>46</v>
      </c>
      <c r="I12" s="29" t="s">
        <v>8</v>
      </c>
      <c r="J12" s="29"/>
      <c r="K12" s="24" t="s">
        <v>64</v>
      </c>
      <c r="L12" s="24" t="s">
        <v>65</v>
      </c>
      <c r="M12">
        <v>91</v>
      </c>
      <c r="N12">
        <v>36.119999999999997</v>
      </c>
      <c r="O12" s="24"/>
      <c r="P12" s="25"/>
      <c r="Q12" s="24"/>
      <c r="R12" s="25"/>
      <c r="S12" s="24"/>
      <c r="T12" s="25"/>
      <c r="U12" s="24"/>
      <c r="V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J12" s="24"/>
      <c r="AK12" s="24"/>
      <c r="AL12" s="24"/>
      <c r="AM12" s="24"/>
      <c r="AN12" s="24"/>
      <c r="AO12" s="24"/>
      <c r="AP12" s="24"/>
      <c r="AQ12" s="24"/>
      <c r="AR12" s="24" t="s">
        <v>36</v>
      </c>
      <c r="AS12" s="29" t="s">
        <v>8</v>
      </c>
      <c r="AT12" s="29"/>
      <c r="AU12" s="29"/>
      <c r="AV12" s="29" t="s">
        <v>37</v>
      </c>
      <c r="AW12" s="29">
        <v>16.3</v>
      </c>
      <c r="AX12" s="29" t="s">
        <v>103</v>
      </c>
      <c r="AY12" s="24"/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8</v>
      </c>
      <c r="BL12" s="29">
        <v>24</v>
      </c>
      <c r="BM12" s="29" t="s">
        <v>8</v>
      </c>
      <c r="BN12" s="29"/>
      <c r="BO12" s="29"/>
      <c r="BP12" s="29"/>
      <c r="BQ12" s="30"/>
      <c r="BR12" s="30"/>
      <c r="BS12" s="29"/>
      <c r="BT12" s="29" t="s">
        <v>8</v>
      </c>
      <c r="BU12" s="24" t="s">
        <v>66</v>
      </c>
      <c r="BV12" t="s">
        <v>428</v>
      </c>
      <c r="BW12" s="32" t="s">
        <v>77</v>
      </c>
    </row>
    <row r="13" spans="1:75" x14ac:dyDescent="0.15">
      <c r="A13" s="33">
        <v>1480</v>
      </c>
      <c r="B13" s="26">
        <v>41741</v>
      </c>
      <c r="C13" s="27" t="s">
        <v>92</v>
      </c>
      <c r="D13" s="24" t="s">
        <v>11</v>
      </c>
      <c r="E13" s="24"/>
      <c r="F13" s="24" t="s">
        <v>33</v>
      </c>
      <c r="G13" s="31">
        <v>41479</v>
      </c>
      <c r="H13" s="29" t="s">
        <v>46</v>
      </c>
      <c r="I13" s="29" t="s">
        <v>8</v>
      </c>
      <c r="J13" s="29"/>
      <c r="K13" s="24" t="s">
        <v>68</v>
      </c>
      <c r="L13" s="24" t="s">
        <v>429</v>
      </c>
      <c r="M13" s="24">
        <v>102.5</v>
      </c>
      <c r="N13" s="24">
        <v>40.799999999999997</v>
      </c>
      <c r="O13" s="24" t="s">
        <v>3</v>
      </c>
      <c r="P13" s="25">
        <v>2500</v>
      </c>
      <c r="Q13" s="24">
        <v>42.83</v>
      </c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36</v>
      </c>
      <c r="AS13" s="29" t="s">
        <v>8</v>
      </c>
      <c r="AT13" s="29"/>
      <c r="AU13" s="29"/>
      <c r="AV13" s="29" t="s">
        <v>37</v>
      </c>
      <c r="AW13" s="29">
        <v>16</v>
      </c>
      <c r="AX13" s="29" t="s">
        <v>103</v>
      </c>
      <c r="AY13" s="24"/>
      <c r="AZ13" s="29">
        <v>0</v>
      </c>
      <c r="BA13" s="29">
        <v>0</v>
      </c>
      <c r="BB13" s="29">
        <v>10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/>
      <c r="BK13" s="29" t="s">
        <v>8</v>
      </c>
      <c r="BL13" s="29"/>
      <c r="BM13" s="29" t="s">
        <v>8</v>
      </c>
      <c r="BN13" s="29"/>
      <c r="BO13" s="29"/>
      <c r="BP13" s="29"/>
      <c r="BQ13" s="24"/>
      <c r="BR13" s="24"/>
      <c r="BS13" s="29"/>
      <c r="BT13" s="29" t="s">
        <v>8</v>
      </c>
      <c r="BU13" s="24"/>
      <c r="BV13" t="s">
        <v>430</v>
      </c>
      <c r="BW13" s="32" t="s">
        <v>77</v>
      </c>
    </row>
    <row r="14" spans="1:75" x14ac:dyDescent="0.15">
      <c r="A14" s="33">
        <v>2355</v>
      </c>
      <c r="B14" s="26">
        <v>41741</v>
      </c>
      <c r="C14" s="27" t="s">
        <v>377</v>
      </c>
      <c r="D14" s="24" t="s">
        <v>378</v>
      </c>
      <c r="E14" s="24"/>
      <c r="F14" s="24" t="s">
        <v>379</v>
      </c>
      <c r="G14" s="31">
        <v>41671</v>
      </c>
      <c r="H14" s="29" t="s">
        <v>175</v>
      </c>
      <c r="I14" s="29" t="s">
        <v>174</v>
      </c>
      <c r="J14" s="29"/>
      <c r="K14" s="24" t="s">
        <v>307</v>
      </c>
      <c r="L14" s="24" t="s">
        <v>73</v>
      </c>
      <c r="M14">
        <v>99.59</v>
      </c>
      <c r="N14">
        <v>40.869999999999997</v>
      </c>
      <c r="O14" s="24"/>
      <c r="P14" s="25"/>
      <c r="Q14" s="24"/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381</v>
      </c>
      <c r="AS14" s="29" t="s">
        <v>174</v>
      </c>
      <c r="AT14" s="29"/>
      <c r="AU14" s="29"/>
      <c r="AV14" s="29" t="s">
        <v>382</v>
      </c>
      <c r="AW14" s="29">
        <v>17</v>
      </c>
      <c r="AX14" s="29" t="s">
        <v>8</v>
      </c>
      <c r="AY14" s="24"/>
      <c r="AZ14" s="29">
        <v>0</v>
      </c>
      <c r="BA14" s="29">
        <v>15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24</v>
      </c>
      <c r="BK14" s="29" t="s">
        <v>46</v>
      </c>
      <c r="BL14" s="29"/>
      <c r="BM14" s="29" t="s">
        <v>8</v>
      </c>
      <c r="BN14" s="29"/>
      <c r="BO14" s="29"/>
      <c r="BP14" s="29"/>
      <c r="BQ14" s="30" t="s">
        <v>15</v>
      </c>
      <c r="BR14" s="30" t="s">
        <v>75</v>
      </c>
      <c r="BS14" s="29">
        <v>50</v>
      </c>
      <c r="BT14" s="29" t="s">
        <v>8</v>
      </c>
      <c r="BU14" s="24"/>
      <c r="BV14" t="s">
        <v>16</v>
      </c>
      <c r="BW14" s="32" t="s">
        <v>77</v>
      </c>
    </row>
    <row r="15" spans="1:75" x14ac:dyDescent="0.15">
      <c r="A15" s="33">
        <v>3330</v>
      </c>
      <c r="B15" s="26">
        <v>41741</v>
      </c>
      <c r="C15" s="27" t="s">
        <v>92</v>
      </c>
      <c r="D15" s="24" t="s">
        <v>11</v>
      </c>
      <c r="E15" s="24"/>
      <c r="F15" s="24" t="s">
        <v>33</v>
      </c>
      <c r="G15" s="31">
        <v>41703</v>
      </c>
      <c r="H15" s="29" t="s">
        <v>8</v>
      </c>
      <c r="I15" s="29" t="s">
        <v>96</v>
      </c>
      <c r="J15" s="29"/>
      <c r="K15" s="24" t="s">
        <v>431</v>
      </c>
      <c r="L15" s="68" t="s">
        <v>432</v>
      </c>
      <c r="M15" s="24">
        <v>100</v>
      </c>
      <c r="N15" s="24">
        <v>40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 t="s">
        <v>36</v>
      </c>
      <c r="AS15" s="29" t="s">
        <v>8</v>
      </c>
      <c r="AT15" s="29"/>
      <c r="AU15" s="29"/>
      <c r="AV15" s="29"/>
      <c r="AW15" s="29"/>
      <c r="AX15" s="29" t="s">
        <v>8</v>
      </c>
      <c r="AY15" s="24"/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/>
      <c r="BK15" s="29" t="s">
        <v>8</v>
      </c>
      <c r="BL15" s="29"/>
      <c r="BM15" s="29" t="s">
        <v>8</v>
      </c>
      <c r="BN15" s="29"/>
      <c r="BO15" s="29"/>
      <c r="BP15" s="29"/>
      <c r="BQ15" s="30"/>
      <c r="BR15" s="30"/>
      <c r="BS15" s="29"/>
      <c r="BT15" s="29" t="s">
        <v>8</v>
      </c>
      <c r="BU15" s="24" t="s">
        <v>433</v>
      </c>
      <c r="BV15" t="s">
        <v>76</v>
      </c>
      <c r="BW15" s="32" t="s">
        <v>77</v>
      </c>
    </row>
    <row r="16" spans="1:75" x14ac:dyDescent="0.15">
      <c r="A16" s="33">
        <v>2949</v>
      </c>
      <c r="B16" s="26">
        <v>41741</v>
      </c>
      <c r="C16" s="27" t="s">
        <v>92</v>
      </c>
      <c r="D16" s="24" t="s">
        <v>11</v>
      </c>
      <c r="E16" s="24"/>
      <c r="F16" s="24" t="s">
        <v>33</v>
      </c>
      <c r="G16" s="28">
        <v>41517</v>
      </c>
      <c r="H16" s="29" t="s">
        <v>8</v>
      </c>
      <c r="I16" s="29" t="s">
        <v>96</v>
      </c>
      <c r="J16" s="29"/>
      <c r="K16" s="24" t="s">
        <v>434</v>
      </c>
      <c r="L16" s="24" t="s">
        <v>435</v>
      </c>
      <c r="M16" s="24">
        <v>109.756</v>
      </c>
      <c r="N16" s="24">
        <v>39.024000000000001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36</v>
      </c>
      <c r="AS16" s="29" t="s">
        <v>8</v>
      </c>
      <c r="AT16" s="29"/>
      <c r="AU16" s="29"/>
      <c r="AV16" s="29"/>
      <c r="AW16" s="29"/>
      <c r="AX16" s="29" t="s">
        <v>103</v>
      </c>
      <c r="AY16" s="24"/>
      <c r="AZ16" s="29">
        <v>0</v>
      </c>
      <c r="BA16" s="29">
        <v>0</v>
      </c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24</v>
      </c>
      <c r="BK16" s="29" t="s">
        <v>46</v>
      </c>
      <c r="BL16" s="29"/>
      <c r="BM16" s="29" t="s">
        <v>8</v>
      </c>
      <c r="BN16" s="29"/>
      <c r="BO16" s="29"/>
      <c r="BP16" s="29"/>
      <c r="BQ16" s="30"/>
      <c r="BR16" s="30"/>
      <c r="BS16" s="30"/>
      <c r="BT16" s="29" t="s">
        <v>8</v>
      </c>
      <c r="BU16" s="24"/>
      <c r="BV16" t="s">
        <v>436</v>
      </c>
      <c r="BW16" s="32" t="s">
        <v>77</v>
      </c>
    </row>
    <row r="17" spans="1:75" x14ac:dyDescent="0.15">
      <c r="A17" s="33">
        <v>3117</v>
      </c>
      <c r="B17" s="26">
        <v>41741</v>
      </c>
      <c r="C17" s="27" t="s">
        <v>92</v>
      </c>
      <c r="D17" s="24" t="s">
        <v>11</v>
      </c>
      <c r="E17" s="24"/>
      <c r="F17" s="24" t="s">
        <v>33</v>
      </c>
      <c r="G17" s="28">
        <v>41549</v>
      </c>
      <c r="H17" s="29" t="s">
        <v>8</v>
      </c>
      <c r="I17" s="29" t="s">
        <v>96</v>
      </c>
      <c r="J17" s="29"/>
      <c r="K17" s="24" t="s">
        <v>437</v>
      </c>
      <c r="L17" s="24" t="s">
        <v>438</v>
      </c>
      <c r="M17" s="24">
        <v>82.5</v>
      </c>
      <c r="N17" s="24">
        <v>46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5"/>
      <c r="AC17" s="24"/>
      <c r="AD17" s="24"/>
      <c r="AE17" s="24"/>
      <c r="AF17" s="24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36</v>
      </c>
      <c r="AS17" s="29" t="s">
        <v>174</v>
      </c>
      <c r="AT17" s="29"/>
      <c r="AU17" s="29"/>
      <c r="AV17" s="29"/>
      <c r="AW17" s="29"/>
      <c r="AX17" s="29" t="s">
        <v>174</v>
      </c>
      <c r="AY17" s="24"/>
      <c r="AZ17" s="29">
        <v>0</v>
      </c>
      <c r="BA17" s="29">
        <v>0</v>
      </c>
      <c r="BB17" s="29">
        <v>16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/>
      <c r="BK17" s="29" t="s">
        <v>8</v>
      </c>
      <c r="BL17" s="29"/>
      <c r="BM17" s="29" t="s">
        <v>8</v>
      </c>
      <c r="BN17" s="29"/>
      <c r="BO17" s="29"/>
      <c r="BP17" s="29"/>
      <c r="BQ17" s="30"/>
      <c r="BR17" s="30"/>
      <c r="BS17" s="29"/>
      <c r="BT17" s="29" t="s">
        <v>8</v>
      </c>
      <c r="BU17" s="24" t="s">
        <v>439</v>
      </c>
      <c r="BV17" t="s">
        <v>440</v>
      </c>
      <c r="BW17" s="32" t="s">
        <v>77</v>
      </c>
    </row>
    <row r="18" spans="1:75" x14ac:dyDescent="0.15">
      <c r="A18" s="33">
        <v>89</v>
      </c>
      <c r="B18" s="26">
        <v>41741</v>
      </c>
      <c r="C18" s="27" t="s">
        <v>92</v>
      </c>
      <c r="D18" s="24" t="s">
        <v>11</v>
      </c>
      <c r="E18" s="24"/>
      <c r="F18" s="24" t="s">
        <v>2</v>
      </c>
      <c r="G18" s="28">
        <v>41608</v>
      </c>
      <c r="H18" s="29" t="s">
        <v>46</v>
      </c>
      <c r="I18" s="29" t="s">
        <v>8</v>
      </c>
      <c r="J18" s="29"/>
      <c r="K18" s="24" t="s">
        <v>80</v>
      </c>
      <c r="L18" s="24" t="s">
        <v>98</v>
      </c>
      <c r="M18" s="24">
        <v>91</v>
      </c>
      <c r="N18" s="24">
        <v>43</v>
      </c>
      <c r="O18" s="24"/>
      <c r="P18" s="25"/>
      <c r="Q18" s="24"/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5"/>
      <c r="AC18" s="24"/>
      <c r="AD18" s="24"/>
      <c r="AE18" s="24"/>
      <c r="AF18" s="24">
        <v>22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4</v>
      </c>
      <c r="AS18" s="29" t="s">
        <v>174</v>
      </c>
      <c r="AT18" s="29"/>
      <c r="AU18" s="29"/>
      <c r="AV18" s="29" t="s">
        <v>37</v>
      </c>
      <c r="AW18" s="29">
        <v>16.3</v>
      </c>
      <c r="AX18" s="29" t="s">
        <v>103</v>
      </c>
      <c r="AY18" s="24"/>
      <c r="AZ18" s="29">
        <v>0</v>
      </c>
      <c r="BA18" s="29">
        <v>16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8</v>
      </c>
      <c r="BL18" s="29">
        <v>24</v>
      </c>
      <c r="BM18" s="29" t="s">
        <v>8</v>
      </c>
      <c r="BN18" s="29"/>
      <c r="BO18" s="29"/>
      <c r="BP18" s="29"/>
      <c r="BQ18" s="30"/>
      <c r="BR18" s="30"/>
      <c r="BS18" s="29"/>
      <c r="BT18" s="29" t="s">
        <v>8</v>
      </c>
      <c r="BU18" s="24"/>
      <c r="BV18" t="s">
        <v>441</v>
      </c>
      <c r="BW18" s="32" t="s">
        <v>77</v>
      </c>
    </row>
    <row r="19" spans="1:75" x14ac:dyDescent="0.15">
      <c r="A19" s="33">
        <v>2588</v>
      </c>
      <c r="B19" s="26">
        <v>41741</v>
      </c>
      <c r="C19" s="27" t="s">
        <v>92</v>
      </c>
      <c r="D19" s="24" t="s">
        <v>11</v>
      </c>
      <c r="E19" s="24"/>
      <c r="F19" s="24" t="s">
        <v>2</v>
      </c>
      <c r="G19" s="31">
        <v>41477</v>
      </c>
      <c r="H19" s="29" t="s">
        <v>8</v>
      </c>
      <c r="I19" s="29" t="s">
        <v>96</v>
      </c>
      <c r="J19" s="29"/>
      <c r="K19" s="24" t="s">
        <v>110</v>
      </c>
      <c r="L19" s="24" t="s">
        <v>327</v>
      </c>
      <c r="M19" s="24">
        <v>98.22</v>
      </c>
      <c r="N19" s="24">
        <v>44.33</v>
      </c>
      <c r="O19" s="24" t="s">
        <v>3</v>
      </c>
      <c r="P19" s="25">
        <v>2500</v>
      </c>
      <c r="Q19" s="24">
        <v>44.89</v>
      </c>
      <c r="R19" s="25"/>
      <c r="S19" s="24"/>
      <c r="T19" s="25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20.55</v>
      </c>
      <c r="AG19" s="25">
        <v>2000</v>
      </c>
      <c r="AH19" s="24">
        <v>22.11</v>
      </c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</v>
      </c>
      <c r="AS19" s="29" t="s">
        <v>8</v>
      </c>
      <c r="AT19" s="29"/>
      <c r="AU19" s="29"/>
      <c r="AV19" s="29"/>
      <c r="AW19" s="29"/>
      <c r="AX19" s="29" t="s">
        <v>8</v>
      </c>
      <c r="AY19" s="24"/>
      <c r="AZ19" s="29">
        <v>0</v>
      </c>
      <c r="BA19" s="29">
        <v>0</v>
      </c>
      <c r="BB19" s="29">
        <v>0</v>
      </c>
      <c r="BC19" s="29">
        <v>28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/>
      <c r="BK19" s="29" t="s">
        <v>8</v>
      </c>
      <c r="BL19" s="29">
        <v>24</v>
      </c>
      <c r="BM19" s="29" t="s">
        <v>8</v>
      </c>
      <c r="BN19" s="29"/>
      <c r="BO19" s="29"/>
      <c r="BP19" s="29"/>
      <c r="BQ19" s="24"/>
      <c r="BR19" s="24"/>
      <c r="BS19" s="29"/>
      <c r="BT19" s="29" t="s">
        <v>8</v>
      </c>
      <c r="BU19" s="24"/>
      <c r="BV19" t="s">
        <v>423</v>
      </c>
      <c r="BW19" s="32" t="s">
        <v>77</v>
      </c>
    </row>
    <row r="20" spans="1:75" x14ac:dyDescent="0.15">
      <c r="A20" s="33">
        <v>201</v>
      </c>
      <c r="B20" s="26">
        <v>41741</v>
      </c>
      <c r="C20" s="27" t="s">
        <v>92</v>
      </c>
      <c r="D20" s="24" t="s">
        <v>11</v>
      </c>
      <c r="E20" s="24"/>
      <c r="F20" s="24" t="s">
        <v>2</v>
      </c>
      <c r="G20" s="28">
        <v>41698</v>
      </c>
      <c r="H20" s="29" t="s">
        <v>8</v>
      </c>
      <c r="I20" s="29" t="s">
        <v>96</v>
      </c>
      <c r="J20" s="29"/>
      <c r="K20" s="24" t="s">
        <v>118</v>
      </c>
      <c r="L20" s="24" t="s">
        <v>119</v>
      </c>
      <c r="M20" s="24">
        <v>83.325000000000003</v>
      </c>
      <c r="N20" s="24">
        <v>46.46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39.591999999999999</v>
      </c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4</v>
      </c>
      <c r="AS20" s="29" t="s">
        <v>8</v>
      </c>
      <c r="AT20" s="29"/>
      <c r="AU20" s="29"/>
      <c r="AV20" s="29"/>
      <c r="AW20" s="29"/>
      <c r="AX20" s="29" t="s">
        <v>8</v>
      </c>
      <c r="AY20" s="24"/>
      <c r="AZ20" s="29">
        <v>0</v>
      </c>
      <c r="BA20" s="29">
        <v>0</v>
      </c>
      <c r="BB20" s="29">
        <v>7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/>
      <c r="BK20" s="29" t="s">
        <v>8</v>
      </c>
      <c r="BL20" s="29"/>
      <c r="BM20" s="29" t="s">
        <v>8</v>
      </c>
      <c r="BN20" s="29"/>
      <c r="BO20" s="29"/>
      <c r="BP20" s="29"/>
      <c r="BQ20" s="30"/>
      <c r="BR20" s="30"/>
      <c r="BS20" s="29"/>
      <c r="BT20" s="29" t="s">
        <v>8</v>
      </c>
      <c r="BU20" s="24" t="s">
        <v>120</v>
      </c>
      <c r="BV20" s="66" t="s">
        <v>76</v>
      </c>
      <c r="BW20" s="32" t="s">
        <v>77</v>
      </c>
    </row>
    <row r="21" spans="1:75" x14ac:dyDescent="0.15">
      <c r="A21" s="33">
        <v>241</v>
      </c>
      <c r="B21" s="26">
        <v>41741</v>
      </c>
      <c r="C21" s="27" t="s">
        <v>92</v>
      </c>
      <c r="D21" s="24" t="s">
        <v>11</v>
      </c>
      <c r="E21" s="24"/>
      <c r="F21" s="24" t="s">
        <v>2</v>
      </c>
      <c r="G21" s="28">
        <v>41495</v>
      </c>
      <c r="H21" s="29" t="s">
        <v>46</v>
      </c>
      <c r="I21" s="29" t="s">
        <v>8</v>
      </c>
      <c r="J21" s="29"/>
      <c r="K21" s="24" t="s">
        <v>124</v>
      </c>
      <c r="L21" s="24" t="s">
        <v>125</v>
      </c>
      <c r="M21" s="24">
        <v>89.5</v>
      </c>
      <c r="N21" s="24">
        <v>43.95</v>
      </c>
      <c r="O21" s="24"/>
      <c r="P21" s="25"/>
      <c r="Q21" s="24"/>
      <c r="R21" s="25"/>
      <c r="S21" s="24"/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23.7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4</v>
      </c>
      <c r="AS21" s="29" t="s">
        <v>8</v>
      </c>
      <c r="AT21" s="29"/>
      <c r="AU21" s="29"/>
      <c r="AV21" s="29" t="s">
        <v>37</v>
      </c>
      <c r="AW21" s="29">
        <v>11.6</v>
      </c>
      <c r="AX21" s="29" t="s">
        <v>8</v>
      </c>
      <c r="AY21" s="24"/>
      <c r="AZ21" s="29">
        <v>0</v>
      </c>
      <c r="BA21" s="29">
        <v>0</v>
      </c>
      <c r="BB21" s="29">
        <v>0</v>
      </c>
      <c r="BC21" s="29">
        <v>20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/>
      <c r="BK21" s="29" t="s">
        <v>8</v>
      </c>
      <c r="BL21" s="29"/>
      <c r="BM21" s="29" t="s">
        <v>8</v>
      </c>
      <c r="BN21" s="29"/>
      <c r="BO21" s="29"/>
      <c r="BP21" s="29"/>
      <c r="BQ21" s="30" t="s">
        <v>127</v>
      </c>
      <c r="BR21" s="24"/>
      <c r="BS21" s="29"/>
      <c r="BT21" s="29" t="s">
        <v>8</v>
      </c>
      <c r="BU21" s="24"/>
      <c r="BV21" t="s">
        <v>424</v>
      </c>
      <c r="BW21" s="32" t="s">
        <v>32</v>
      </c>
    </row>
    <row r="22" spans="1:75" x14ac:dyDescent="0.15">
      <c r="A22" s="33">
        <v>395</v>
      </c>
      <c r="B22" s="26">
        <v>41741</v>
      </c>
      <c r="C22" s="27" t="s">
        <v>92</v>
      </c>
      <c r="D22" s="24" t="s">
        <v>11</v>
      </c>
      <c r="E22" s="24"/>
      <c r="F22" s="24" t="s">
        <v>2</v>
      </c>
      <c r="G22" s="28">
        <v>41639</v>
      </c>
      <c r="H22" s="29" t="s">
        <v>46</v>
      </c>
      <c r="I22" s="29" t="s">
        <v>8</v>
      </c>
      <c r="J22" s="29"/>
      <c r="K22" s="24" t="s">
        <v>130</v>
      </c>
      <c r="L22" s="24" t="s">
        <v>131</v>
      </c>
      <c r="M22" s="24">
        <v>99.5</v>
      </c>
      <c r="N22" s="24">
        <v>38.9</v>
      </c>
      <c r="O22" s="24" t="s">
        <v>3</v>
      </c>
      <c r="P22" s="25">
        <v>1000</v>
      </c>
      <c r="Q22" s="24">
        <v>39.950000000000003</v>
      </c>
      <c r="R22" s="25">
        <v>1500</v>
      </c>
      <c r="S22" s="24">
        <v>40.98</v>
      </c>
      <c r="T22" s="25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19.95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4</v>
      </c>
      <c r="AS22" s="29" t="s">
        <v>8</v>
      </c>
      <c r="AT22" s="29"/>
      <c r="AU22" s="29"/>
      <c r="AV22" s="29" t="s">
        <v>37</v>
      </c>
      <c r="AW22" s="29">
        <v>12</v>
      </c>
      <c r="AX22" s="29" t="s">
        <v>103</v>
      </c>
      <c r="AY22" s="24"/>
      <c r="AZ22" s="29">
        <v>0</v>
      </c>
      <c r="BA22" s="29">
        <v>0</v>
      </c>
      <c r="BB22" s="29">
        <v>7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24</v>
      </c>
      <c r="BK22" s="29" t="s">
        <v>46</v>
      </c>
      <c r="BL22" s="29"/>
      <c r="BM22" s="29" t="s">
        <v>8</v>
      </c>
      <c r="BN22" s="29"/>
      <c r="BO22" s="29"/>
      <c r="BP22" s="29"/>
      <c r="BQ22" s="24"/>
      <c r="BR22" s="24"/>
      <c r="BS22" s="29"/>
      <c r="BT22" s="29" t="s">
        <v>8</v>
      </c>
      <c r="BU22" s="24" t="s">
        <v>136</v>
      </c>
      <c r="BV22" t="s">
        <v>76</v>
      </c>
      <c r="BW22" s="32" t="s">
        <v>32</v>
      </c>
    </row>
    <row r="23" spans="1:75" x14ac:dyDescent="0.15">
      <c r="A23" s="33">
        <v>573</v>
      </c>
      <c r="B23" s="26">
        <v>41741</v>
      </c>
      <c r="C23" s="27" t="s">
        <v>92</v>
      </c>
      <c r="D23" s="24" t="s">
        <v>11</v>
      </c>
      <c r="E23" s="24"/>
      <c r="F23" s="24" t="s">
        <v>2</v>
      </c>
      <c r="G23" s="28">
        <v>41667</v>
      </c>
      <c r="H23" s="29" t="s">
        <v>46</v>
      </c>
      <c r="I23" s="29" t="s">
        <v>8</v>
      </c>
      <c r="J23" s="29"/>
      <c r="K23" s="24" t="s">
        <v>24</v>
      </c>
      <c r="L23" s="24" t="s">
        <v>35</v>
      </c>
      <c r="M23" s="24">
        <v>89.6</v>
      </c>
      <c r="N23" s="24">
        <v>46.2</v>
      </c>
      <c r="O23" s="24"/>
      <c r="P23" s="25"/>
      <c r="Q23" s="24"/>
      <c r="R23" s="25"/>
      <c r="S23" s="24"/>
      <c r="T23" s="25"/>
      <c r="U23" s="24"/>
      <c r="V23" s="24"/>
      <c r="W23" s="24"/>
      <c r="X23" s="25"/>
      <c r="Y23" s="24"/>
      <c r="Z23" s="25"/>
      <c r="AA23" s="24"/>
      <c r="AB23" s="25"/>
      <c r="AC23" s="24"/>
      <c r="AD23" s="24"/>
      <c r="AE23" s="24"/>
      <c r="AF23" s="24">
        <v>16.91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4</v>
      </c>
      <c r="AS23" s="29" t="s">
        <v>8</v>
      </c>
      <c r="AT23" s="29"/>
      <c r="AU23" s="29"/>
      <c r="AV23" s="29" t="s">
        <v>37</v>
      </c>
      <c r="AW23" s="29">
        <v>15</v>
      </c>
      <c r="AX23" s="29" t="s">
        <v>103</v>
      </c>
      <c r="AY23" s="24"/>
      <c r="AZ23" s="29">
        <v>0</v>
      </c>
      <c r="BA23" s="29">
        <v>16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24</v>
      </c>
      <c r="BK23" s="29" t="s">
        <v>46</v>
      </c>
      <c r="BL23" s="29"/>
      <c r="BM23" s="29" t="s">
        <v>8</v>
      </c>
      <c r="BN23" s="29"/>
      <c r="BO23" s="29"/>
      <c r="BP23" s="29"/>
      <c r="BQ23" s="24"/>
      <c r="BR23" s="24"/>
      <c r="BS23" s="29"/>
      <c r="BT23" s="29" t="s">
        <v>8</v>
      </c>
      <c r="BU23" s="24"/>
      <c r="BV23" s="66" t="s">
        <v>76</v>
      </c>
      <c r="BW23" s="67" t="s">
        <v>77</v>
      </c>
    </row>
    <row r="24" spans="1:75" x14ac:dyDescent="0.15">
      <c r="A24" s="33">
        <v>702</v>
      </c>
      <c r="B24" s="26">
        <v>41741</v>
      </c>
      <c r="C24" s="27" t="s">
        <v>92</v>
      </c>
      <c r="D24" s="24" t="s">
        <v>11</v>
      </c>
      <c r="E24" s="24"/>
      <c r="F24" s="24" t="s">
        <v>2</v>
      </c>
      <c r="G24" s="28">
        <v>41429</v>
      </c>
      <c r="H24" s="29" t="s">
        <v>46</v>
      </c>
      <c r="I24" s="29" t="s">
        <v>8</v>
      </c>
      <c r="J24" s="29"/>
      <c r="K24" s="24" t="s">
        <v>40</v>
      </c>
      <c r="L24" s="24" t="s">
        <v>41</v>
      </c>
      <c r="M24" s="24">
        <v>110</v>
      </c>
      <c r="N24" s="24">
        <v>43.52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26.13</v>
      </c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</v>
      </c>
      <c r="AS24" s="29" t="s">
        <v>8</v>
      </c>
      <c r="AT24" s="29"/>
      <c r="AU24" s="29"/>
      <c r="AV24" s="29" t="s">
        <v>37</v>
      </c>
      <c r="AW24" s="29">
        <v>6.8</v>
      </c>
      <c r="AX24" s="29" t="s">
        <v>8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/>
      <c r="BK24" s="29" t="s">
        <v>8</v>
      </c>
      <c r="BL24" s="29"/>
      <c r="BM24" s="29" t="s">
        <v>8</v>
      </c>
      <c r="BN24" s="29"/>
      <c r="BO24" s="29"/>
      <c r="BP24" s="29"/>
      <c r="BQ24" s="30"/>
      <c r="BR24" s="30"/>
      <c r="BS24" s="29"/>
      <c r="BT24" s="29" t="s">
        <v>8</v>
      </c>
      <c r="BU24" s="24"/>
      <c r="BV24" t="s">
        <v>425</v>
      </c>
      <c r="BW24" s="32" t="s">
        <v>77</v>
      </c>
    </row>
    <row r="25" spans="1:75" x14ac:dyDescent="0.15">
      <c r="A25" s="33">
        <v>921</v>
      </c>
      <c r="B25" s="26">
        <v>41741</v>
      </c>
      <c r="C25" s="27" t="s">
        <v>92</v>
      </c>
      <c r="D25" s="24" t="s">
        <v>11</v>
      </c>
      <c r="E25" s="24"/>
      <c r="F25" s="24" t="s">
        <v>2</v>
      </c>
      <c r="G25" s="28">
        <v>41563</v>
      </c>
      <c r="H25" s="29" t="s">
        <v>46</v>
      </c>
      <c r="I25" s="29" t="s">
        <v>8</v>
      </c>
      <c r="J25" s="29"/>
      <c r="K25" s="24" t="s">
        <v>53</v>
      </c>
      <c r="L25" s="24" t="s">
        <v>54</v>
      </c>
      <c r="M25" s="24">
        <v>88.74</v>
      </c>
      <c r="N25" s="24">
        <v>41.93</v>
      </c>
      <c r="O25" s="24" t="s">
        <v>3</v>
      </c>
      <c r="P25" s="25">
        <v>1200</v>
      </c>
      <c r="Q25" s="24">
        <v>41.09</v>
      </c>
      <c r="R25" s="25"/>
      <c r="S25" s="24"/>
      <c r="T25" s="25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>
        <v>21.45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 t="s">
        <v>4</v>
      </c>
      <c r="AS25" s="29" t="s">
        <v>8</v>
      </c>
      <c r="AT25" s="29"/>
      <c r="AU25" s="29"/>
      <c r="AV25" s="29" t="s">
        <v>37</v>
      </c>
      <c r="AW25" s="29">
        <v>6.8</v>
      </c>
      <c r="AX25" s="29" t="s">
        <v>8</v>
      </c>
      <c r="AY25" s="24"/>
      <c r="AZ25" s="29">
        <v>0</v>
      </c>
      <c r="BA25" s="29">
        <v>0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12</v>
      </c>
      <c r="BK25" s="29" t="s">
        <v>46</v>
      </c>
      <c r="BL25" s="29"/>
      <c r="BM25" s="29" t="s">
        <v>8</v>
      </c>
      <c r="BN25" s="29"/>
      <c r="BO25" s="29"/>
      <c r="BP25" s="29"/>
      <c r="BQ25" s="24"/>
      <c r="BR25" s="24"/>
      <c r="BS25" s="29"/>
      <c r="BT25" s="29" t="s">
        <v>8</v>
      </c>
      <c r="BU25" s="24" t="s">
        <v>56</v>
      </c>
      <c r="BV25" t="s">
        <v>427</v>
      </c>
      <c r="BW25" s="32" t="s">
        <v>77</v>
      </c>
    </row>
    <row r="26" spans="1:75" x14ac:dyDescent="0.15">
      <c r="A26" s="33">
        <v>1149</v>
      </c>
      <c r="B26" s="26">
        <v>41741</v>
      </c>
      <c r="C26" s="27" t="s">
        <v>92</v>
      </c>
      <c r="D26" s="24" t="s">
        <v>11</v>
      </c>
      <c r="E26" s="24"/>
      <c r="F26" s="24" t="s">
        <v>2</v>
      </c>
      <c r="G26" s="28">
        <v>41720</v>
      </c>
      <c r="H26" s="29" t="s">
        <v>46</v>
      </c>
      <c r="I26" s="29" t="s">
        <v>8</v>
      </c>
      <c r="J26" s="29"/>
      <c r="K26" s="24" t="s">
        <v>10</v>
      </c>
      <c r="L26" s="24" t="s">
        <v>60</v>
      </c>
      <c r="M26" s="24">
        <v>90.95</v>
      </c>
      <c r="N26" s="24">
        <v>40.33</v>
      </c>
      <c r="O26" s="24"/>
      <c r="P26" s="24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19.25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 t="s">
        <v>4</v>
      </c>
      <c r="AS26" s="29" t="s">
        <v>8</v>
      </c>
      <c r="AT26" s="29"/>
      <c r="AU26" s="29"/>
      <c r="AV26" s="29" t="s">
        <v>37</v>
      </c>
      <c r="AW26" s="29">
        <v>11</v>
      </c>
      <c r="AX26" s="29" t="s">
        <v>103</v>
      </c>
      <c r="AY26" s="24"/>
      <c r="AZ26" s="29">
        <v>0</v>
      </c>
      <c r="BA26" s="29">
        <v>16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12</v>
      </c>
      <c r="BK26" s="29" t="s">
        <v>46</v>
      </c>
      <c r="BL26" s="29"/>
      <c r="BM26" s="29" t="s">
        <v>8</v>
      </c>
      <c r="BN26" s="29"/>
      <c r="BO26" s="29"/>
      <c r="BP26" s="29"/>
      <c r="BQ26" s="24"/>
      <c r="BR26" s="24"/>
      <c r="BS26" s="29"/>
      <c r="BT26" s="29" t="s">
        <v>8</v>
      </c>
      <c r="BU26" s="30" t="s">
        <v>61</v>
      </c>
      <c r="BV26" s="66" t="s">
        <v>76</v>
      </c>
      <c r="BW26" s="67" t="s">
        <v>39</v>
      </c>
    </row>
    <row r="27" spans="1:75" x14ac:dyDescent="0.15">
      <c r="A27" s="33">
        <v>1323</v>
      </c>
      <c r="B27" s="26">
        <v>41741</v>
      </c>
      <c r="C27" s="27" t="s">
        <v>92</v>
      </c>
      <c r="D27" s="24" t="s">
        <v>11</v>
      </c>
      <c r="E27" s="24"/>
      <c r="F27" s="24" t="s">
        <v>2</v>
      </c>
      <c r="G27" s="28">
        <v>41608</v>
      </c>
      <c r="H27" s="29" t="s">
        <v>46</v>
      </c>
      <c r="I27" s="29" t="s">
        <v>8</v>
      </c>
      <c r="J27" s="29"/>
      <c r="K27" s="24" t="s">
        <v>64</v>
      </c>
      <c r="L27" s="24" t="s">
        <v>65</v>
      </c>
      <c r="M27" s="24">
        <v>91</v>
      </c>
      <c r="N27" s="24">
        <v>36.119999999999997</v>
      </c>
      <c r="O27" s="24"/>
      <c r="P27" s="25"/>
      <c r="Q27" s="24"/>
      <c r="R27" s="25"/>
      <c r="S27" s="24"/>
      <c r="T27" s="25"/>
      <c r="U27" s="24"/>
      <c r="V27" s="24"/>
      <c r="W27" s="24"/>
      <c r="X27" s="24"/>
      <c r="Y27" s="24"/>
      <c r="Z27" s="25"/>
      <c r="AA27" s="24"/>
      <c r="AB27" s="25"/>
      <c r="AC27" s="24"/>
      <c r="AD27" s="24"/>
      <c r="AE27" s="24"/>
      <c r="AF27" s="24">
        <v>22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4</v>
      </c>
      <c r="AS27" s="29" t="s">
        <v>8</v>
      </c>
      <c r="AT27" s="29"/>
      <c r="AU27" s="29"/>
      <c r="AV27" s="29" t="s">
        <v>37</v>
      </c>
      <c r="AW27" s="29">
        <v>16.3</v>
      </c>
      <c r="AX27" s="29" t="s">
        <v>103</v>
      </c>
      <c r="AY27" s="24"/>
      <c r="AZ27" s="29">
        <v>0</v>
      </c>
      <c r="BA27" s="29">
        <v>0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8</v>
      </c>
      <c r="BL27" s="29">
        <v>24</v>
      </c>
      <c r="BM27" s="29" t="s">
        <v>8</v>
      </c>
      <c r="BN27" s="29"/>
      <c r="BO27" s="29"/>
      <c r="BP27" s="29"/>
      <c r="BQ27" s="30"/>
      <c r="BR27" s="30"/>
      <c r="BS27" s="29"/>
      <c r="BT27" s="29" t="s">
        <v>8</v>
      </c>
      <c r="BU27" s="24" t="s">
        <v>66</v>
      </c>
      <c r="BV27" t="s">
        <v>428</v>
      </c>
      <c r="BW27" s="32" t="s">
        <v>77</v>
      </c>
    </row>
    <row r="28" spans="1:75" x14ac:dyDescent="0.15">
      <c r="A28" s="33">
        <v>1479</v>
      </c>
      <c r="B28" s="26">
        <v>41741</v>
      </c>
      <c r="C28" s="27" t="s">
        <v>92</v>
      </c>
      <c r="D28" s="24" t="s">
        <v>11</v>
      </c>
      <c r="E28" s="24"/>
      <c r="F28" s="24" t="s">
        <v>2</v>
      </c>
      <c r="G28" s="31">
        <v>41479</v>
      </c>
      <c r="H28" s="29" t="s">
        <v>46</v>
      </c>
      <c r="I28" s="29" t="s">
        <v>8</v>
      </c>
      <c r="J28" s="29"/>
      <c r="K28" s="24" t="s">
        <v>68</v>
      </c>
      <c r="L28" s="24" t="s">
        <v>429</v>
      </c>
      <c r="M28" s="24">
        <v>102.5</v>
      </c>
      <c r="N28" s="24">
        <v>40.799999999999997</v>
      </c>
      <c r="O28" s="24" t="s">
        <v>3</v>
      </c>
      <c r="P28" s="25">
        <v>2500</v>
      </c>
      <c r="Q28" s="24">
        <v>42.83</v>
      </c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20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 t="s">
        <v>4</v>
      </c>
      <c r="AS28" s="29" t="s">
        <v>8</v>
      </c>
      <c r="AT28" s="29"/>
      <c r="AU28" s="29"/>
      <c r="AV28" s="29" t="s">
        <v>37</v>
      </c>
      <c r="AW28" s="29">
        <v>16</v>
      </c>
      <c r="AX28" s="29" t="s">
        <v>103</v>
      </c>
      <c r="AY28" s="24"/>
      <c r="AZ28" s="29">
        <v>0</v>
      </c>
      <c r="BA28" s="29">
        <v>0</v>
      </c>
      <c r="BB28" s="29">
        <v>10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/>
      <c r="BK28" s="29" t="s">
        <v>8</v>
      </c>
      <c r="BL28" s="29"/>
      <c r="BM28" s="29" t="s">
        <v>8</v>
      </c>
      <c r="BN28" s="29"/>
      <c r="BO28" s="29"/>
      <c r="BP28" s="29"/>
      <c r="BQ28" s="24"/>
      <c r="BR28" s="24"/>
      <c r="BS28" s="29"/>
      <c r="BT28" s="29" t="s">
        <v>8</v>
      </c>
      <c r="BU28" s="24"/>
      <c r="BV28" t="s">
        <v>430</v>
      </c>
      <c r="BW28" s="32" t="s">
        <v>77</v>
      </c>
    </row>
    <row r="29" spans="1:75" x14ac:dyDescent="0.15">
      <c r="A29" s="33">
        <v>2354</v>
      </c>
      <c r="B29" s="26">
        <v>41741</v>
      </c>
      <c r="C29" s="27" t="s">
        <v>377</v>
      </c>
      <c r="D29" s="24" t="s">
        <v>378</v>
      </c>
      <c r="E29" s="24"/>
      <c r="F29" s="24" t="s">
        <v>403</v>
      </c>
      <c r="G29" s="31">
        <v>41671</v>
      </c>
      <c r="H29" s="29" t="s">
        <v>175</v>
      </c>
      <c r="I29" s="29" t="s">
        <v>174</v>
      </c>
      <c r="J29" s="29"/>
      <c r="K29" s="24" t="s">
        <v>307</v>
      </c>
      <c r="L29" s="24" t="s">
        <v>73</v>
      </c>
      <c r="M29" s="24">
        <v>99.59</v>
      </c>
      <c r="N29" s="24">
        <v>40.869999999999997</v>
      </c>
      <c r="O29" s="24"/>
      <c r="P29" s="25"/>
      <c r="Q29" s="24"/>
      <c r="R29" s="25"/>
      <c r="S29" s="24"/>
      <c r="T29" s="25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27.69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404</v>
      </c>
      <c r="AS29" s="29" t="s">
        <v>174</v>
      </c>
      <c r="AT29" s="29"/>
      <c r="AU29" s="29"/>
      <c r="AV29" s="29" t="s">
        <v>382</v>
      </c>
      <c r="AW29" s="29">
        <v>17</v>
      </c>
      <c r="AX29" s="29" t="s">
        <v>8</v>
      </c>
      <c r="AY29" s="24"/>
      <c r="AZ29" s="29">
        <v>0</v>
      </c>
      <c r="BA29" s="29">
        <v>15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24</v>
      </c>
      <c r="BK29" s="29" t="s">
        <v>46</v>
      </c>
      <c r="BL29" s="29"/>
      <c r="BM29" s="29" t="s">
        <v>8</v>
      </c>
      <c r="BN29" s="29"/>
      <c r="BO29" s="29"/>
      <c r="BP29" s="29"/>
      <c r="BQ29" s="30" t="s">
        <v>15</v>
      </c>
      <c r="BR29" s="30" t="s">
        <v>75</v>
      </c>
      <c r="BS29" s="29">
        <v>50</v>
      </c>
      <c r="BT29" s="29" t="s">
        <v>8</v>
      </c>
      <c r="BU29" s="24"/>
      <c r="BV29" t="s">
        <v>16</v>
      </c>
      <c r="BW29" s="32" t="s">
        <v>77</v>
      </c>
    </row>
    <row r="30" spans="1:75" x14ac:dyDescent="0.15">
      <c r="A30" s="33">
        <v>3329</v>
      </c>
      <c r="B30" s="26">
        <v>41741</v>
      </c>
      <c r="C30" s="27" t="s">
        <v>92</v>
      </c>
      <c r="D30" s="24" t="s">
        <v>11</v>
      </c>
      <c r="E30" s="24"/>
      <c r="F30" s="24" t="s">
        <v>2</v>
      </c>
      <c r="G30" s="31">
        <v>41703</v>
      </c>
      <c r="H30" s="29" t="s">
        <v>8</v>
      </c>
      <c r="I30" s="29" t="s">
        <v>96</v>
      </c>
      <c r="J30" s="29"/>
      <c r="K30" s="24" t="s">
        <v>431</v>
      </c>
      <c r="L30" s="68" t="s">
        <v>432</v>
      </c>
      <c r="M30" s="24">
        <v>100</v>
      </c>
      <c r="N30" s="24">
        <v>40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26</v>
      </c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4</v>
      </c>
      <c r="AS30" s="29" t="s">
        <v>8</v>
      </c>
      <c r="AT30" s="29"/>
      <c r="AU30" s="29"/>
      <c r="AV30" s="29"/>
      <c r="AW30" s="29"/>
      <c r="AX30" s="29" t="s">
        <v>8</v>
      </c>
      <c r="AY30" s="24"/>
      <c r="AZ30" s="29">
        <v>0</v>
      </c>
      <c r="BA30" s="29">
        <v>0</v>
      </c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/>
      <c r="BK30" s="29" t="s">
        <v>8</v>
      </c>
      <c r="BL30" s="29"/>
      <c r="BM30" s="29" t="s">
        <v>8</v>
      </c>
      <c r="BN30" s="29"/>
      <c r="BO30" s="29"/>
      <c r="BP30" s="29"/>
      <c r="BQ30" s="30"/>
      <c r="BR30" s="30"/>
      <c r="BS30" s="29"/>
      <c r="BT30" s="29" t="s">
        <v>8</v>
      </c>
      <c r="BU30" s="24" t="s">
        <v>433</v>
      </c>
      <c r="BV30" t="s">
        <v>76</v>
      </c>
      <c r="BW30" s="32" t="s">
        <v>77</v>
      </c>
    </row>
    <row r="31" spans="1:75" x14ac:dyDescent="0.15">
      <c r="A31" s="33">
        <v>2948</v>
      </c>
      <c r="B31" s="26">
        <v>41741</v>
      </c>
      <c r="C31" s="27" t="s">
        <v>92</v>
      </c>
      <c r="D31" s="24" t="s">
        <v>11</v>
      </c>
      <c r="E31" s="24"/>
      <c r="F31" s="24" t="s">
        <v>2</v>
      </c>
      <c r="G31" s="28">
        <v>41517</v>
      </c>
      <c r="H31" s="29" t="s">
        <v>8</v>
      </c>
      <c r="I31" s="29" t="s">
        <v>96</v>
      </c>
      <c r="J31" s="29"/>
      <c r="K31" s="24" t="s">
        <v>434</v>
      </c>
      <c r="L31" s="24" t="s">
        <v>435</v>
      </c>
      <c r="M31" s="24">
        <v>109.756</v>
      </c>
      <c r="N31" s="24">
        <v>39.024000000000001</v>
      </c>
      <c r="O31" s="24"/>
      <c r="P31" s="25"/>
      <c r="Q31" s="24"/>
      <c r="R31" s="25"/>
      <c r="S31" s="24"/>
      <c r="T31" s="25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>
        <v>16.768000000000001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4</v>
      </c>
      <c r="AS31" s="29" t="s">
        <v>8</v>
      </c>
      <c r="AT31" s="29"/>
      <c r="AU31" s="29"/>
      <c r="AV31" s="29"/>
      <c r="AW31" s="29"/>
      <c r="AX31" s="29" t="s">
        <v>103</v>
      </c>
      <c r="AY31" s="24"/>
      <c r="AZ31" s="29">
        <v>0</v>
      </c>
      <c r="BA31" s="29">
        <v>0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24</v>
      </c>
      <c r="BK31" s="29" t="s">
        <v>46</v>
      </c>
      <c r="BL31" s="29"/>
      <c r="BM31" s="29" t="s">
        <v>8</v>
      </c>
      <c r="BN31" s="29"/>
      <c r="BO31" s="29"/>
      <c r="BP31" s="29"/>
      <c r="BQ31" s="30"/>
      <c r="BR31" s="30"/>
      <c r="BS31" s="30"/>
      <c r="BT31" s="29" t="s">
        <v>8</v>
      </c>
      <c r="BU31" s="24"/>
      <c r="BV31" t="s">
        <v>436</v>
      </c>
      <c r="BW31" s="32" t="s">
        <v>77</v>
      </c>
    </row>
    <row r="32" spans="1:75" x14ac:dyDescent="0.15">
      <c r="A32" s="33">
        <v>3116</v>
      </c>
      <c r="B32" s="26">
        <v>41741</v>
      </c>
      <c r="C32" s="27" t="s">
        <v>92</v>
      </c>
      <c r="D32" s="24" t="s">
        <v>11</v>
      </c>
      <c r="E32" s="24"/>
      <c r="F32" s="24" t="s">
        <v>2</v>
      </c>
      <c r="G32" s="28">
        <v>41549</v>
      </c>
      <c r="H32" s="29" t="s">
        <v>8</v>
      </c>
      <c r="I32" s="29" t="s">
        <v>96</v>
      </c>
      <c r="J32" s="29"/>
      <c r="K32" s="24" t="s">
        <v>437</v>
      </c>
      <c r="L32" s="24" t="s">
        <v>438</v>
      </c>
      <c r="M32" s="24">
        <v>82.5</v>
      </c>
      <c r="N32" s="24">
        <v>46</v>
      </c>
      <c r="O32" s="24"/>
      <c r="P32" s="25"/>
      <c r="Q32" s="24"/>
      <c r="R32" s="25"/>
      <c r="S32" s="24"/>
      <c r="T32" s="25"/>
      <c r="U32" s="24"/>
      <c r="V32" s="24"/>
      <c r="W32" s="24"/>
      <c r="X32" s="24"/>
      <c r="Y32" s="24"/>
      <c r="Z32" s="24"/>
      <c r="AA32" s="24"/>
      <c r="AB32" s="25"/>
      <c r="AC32" s="24"/>
      <c r="AD32" s="24"/>
      <c r="AE32" s="24"/>
      <c r="AF32" s="24">
        <v>39.200000000000003</v>
      </c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4</v>
      </c>
      <c r="AS32" s="29" t="s">
        <v>174</v>
      </c>
      <c r="AT32" s="29"/>
      <c r="AU32" s="29"/>
      <c r="AV32" s="29"/>
      <c r="AW32" s="29"/>
      <c r="AX32" s="29" t="s">
        <v>174</v>
      </c>
      <c r="AY32" s="24"/>
      <c r="AZ32" s="29">
        <v>0</v>
      </c>
      <c r="BA32" s="29">
        <v>0</v>
      </c>
      <c r="BB32" s="29">
        <v>16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/>
      <c r="BK32" s="29" t="s">
        <v>8</v>
      </c>
      <c r="BL32" s="29"/>
      <c r="BM32" s="29" t="s">
        <v>8</v>
      </c>
      <c r="BN32" s="29"/>
      <c r="BO32" s="29"/>
      <c r="BP32" s="29"/>
      <c r="BQ32" s="30"/>
      <c r="BR32" s="30"/>
      <c r="BS32" s="29"/>
      <c r="BT32" s="29" t="s">
        <v>8</v>
      </c>
      <c r="BU32" s="24" t="s">
        <v>439</v>
      </c>
      <c r="BV32" t="s">
        <v>440</v>
      </c>
      <c r="BW32" s="32" t="s">
        <v>77</v>
      </c>
    </row>
    <row r="33" spans="1:75" x14ac:dyDescent="0.15">
      <c r="A33" s="33">
        <v>92</v>
      </c>
      <c r="B33" s="26">
        <v>41741</v>
      </c>
      <c r="C33" s="27" t="s">
        <v>92</v>
      </c>
      <c r="D33" s="24" t="s">
        <v>11</v>
      </c>
      <c r="E33" s="24"/>
      <c r="F33" s="24" t="s">
        <v>17</v>
      </c>
      <c r="G33" s="28">
        <v>41608</v>
      </c>
      <c r="H33" s="29" t="s">
        <v>46</v>
      </c>
      <c r="I33" s="29" t="s">
        <v>8</v>
      </c>
      <c r="J33" s="29"/>
      <c r="K33" s="24" t="s">
        <v>80</v>
      </c>
      <c r="L33" s="24" t="s">
        <v>98</v>
      </c>
      <c r="M33">
        <v>91</v>
      </c>
      <c r="N33">
        <v>43</v>
      </c>
      <c r="O33" s="24"/>
      <c r="P33" s="25"/>
      <c r="Q33" s="24"/>
      <c r="R33" s="25"/>
      <c r="S33" s="24"/>
      <c r="T33" s="25"/>
      <c r="U33" s="24"/>
      <c r="V33" s="24"/>
      <c r="W33" s="24">
        <v>28</v>
      </c>
      <c r="X33" s="25"/>
      <c r="Y33" s="24"/>
      <c r="Z33" s="25"/>
      <c r="AA33" s="24"/>
      <c r="AB33" s="25"/>
      <c r="AC33" s="24"/>
      <c r="AD33" s="24"/>
      <c r="AE33" s="24"/>
      <c r="AF33" s="24"/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t="s">
        <v>20</v>
      </c>
      <c r="AS33" s="29" t="s">
        <v>174</v>
      </c>
      <c r="AT33" s="29"/>
      <c r="AU33" s="29"/>
      <c r="AV33" s="29" t="s">
        <v>37</v>
      </c>
      <c r="AW33" s="29">
        <v>16.3</v>
      </c>
      <c r="AX33" s="29" t="s">
        <v>103</v>
      </c>
      <c r="AY33" s="24"/>
      <c r="AZ33" s="29">
        <v>0</v>
      </c>
      <c r="BA33" s="29">
        <v>16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8</v>
      </c>
      <c r="BL33" s="29">
        <v>24</v>
      </c>
      <c r="BM33" s="29" t="s">
        <v>8</v>
      </c>
      <c r="BN33" s="29"/>
      <c r="BO33" s="29"/>
      <c r="BP33" s="29"/>
      <c r="BQ33" s="30"/>
      <c r="BR33" s="30"/>
      <c r="BS33" s="29"/>
      <c r="BT33" s="29" t="s">
        <v>8</v>
      </c>
      <c r="BU33" s="24"/>
      <c r="BV33" t="s">
        <v>442</v>
      </c>
      <c r="BW33" s="32" t="s">
        <v>77</v>
      </c>
    </row>
    <row r="34" spans="1:75" x14ac:dyDescent="0.15">
      <c r="A34" s="33">
        <v>2590</v>
      </c>
      <c r="B34" s="26">
        <v>41741</v>
      </c>
      <c r="C34" s="27" t="s">
        <v>92</v>
      </c>
      <c r="D34" s="24" t="s">
        <v>11</v>
      </c>
      <c r="E34" s="24"/>
      <c r="F34" s="24" t="s">
        <v>443</v>
      </c>
      <c r="G34" s="31">
        <v>41477</v>
      </c>
      <c r="H34" s="29" t="s">
        <v>8</v>
      </c>
      <c r="I34" s="29" t="s">
        <v>96</v>
      </c>
      <c r="J34" s="29"/>
      <c r="K34" s="24" t="s">
        <v>110</v>
      </c>
      <c r="L34" s="24" t="s">
        <v>327</v>
      </c>
      <c r="M34" s="24">
        <v>103.4</v>
      </c>
      <c r="N34" s="24">
        <v>50.83</v>
      </c>
      <c r="O34" s="24"/>
      <c r="P34" s="25"/>
      <c r="Q34" s="24"/>
      <c r="R34" s="25"/>
      <c r="S34" s="24"/>
      <c r="T34" s="25"/>
      <c r="U34" s="24"/>
      <c r="V34" s="24"/>
      <c r="W34" s="24">
        <v>29.89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20</v>
      </c>
      <c r="AS34" s="29" t="s">
        <v>8</v>
      </c>
      <c r="AT34" s="29"/>
      <c r="AU34" s="29"/>
      <c r="AV34" s="29"/>
      <c r="AW34" s="29"/>
      <c r="AX34" s="29" t="s">
        <v>8</v>
      </c>
      <c r="AY34" s="24"/>
      <c r="AZ34" s="29">
        <v>0</v>
      </c>
      <c r="BA34" s="29">
        <v>0</v>
      </c>
      <c r="BB34" s="29">
        <v>0</v>
      </c>
      <c r="BC34" s="29">
        <v>28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/>
      <c r="BK34" s="29" t="s">
        <v>8</v>
      </c>
      <c r="BL34" s="29">
        <v>24</v>
      </c>
      <c r="BM34" s="29" t="s">
        <v>8</v>
      </c>
      <c r="BN34" s="29"/>
      <c r="BO34" s="29"/>
      <c r="BP34" s="29"/>
      <c r="BQ34" s="24"/>
      <c r="BR34" s="24"/>
      <c r="BS34" s="29"/>
      <c r="BT34" s="29" t="s">
        <v>8</v>
      </c>
      <c r="BU34" s="24"/>
      <c r="BV34" t="s">
        <v>423</v>
      </c>
      <c r="BW34" s="32" t="s">
        <v>77</v>
      </c>
    </row>
    <row r="35" spans="1:75" x14ac:dyDescent="0.15">
      <c r="A35" s="33">
        <v>203</v>
      </c>
      <c r="B35" s="26">
        <v>41741</v>
      </c>
      <c r="C35" s="27" t="s">
        <v>92</v>
      </c>
      <c r="D35" s="24" t="s">
        <v>11</v>
      </c>
      <c r="E35" s="24"/>
      <c r="F35" s="24" t="s">
        <v>17</v>
      </c>
      <c r="G35" s="28">
        <v>41698</v>
      </c>
      <c r="H35" s="29" t="s">
        <v>8</v>
      </c>
      <c r="I35" s="29" t="s">
        <v>96</v>
      </c>
      <c r="J35" s="29"/>
      <c r="K35" s="24" t="s">
        <v>118</v>
      </c>
      <c r="L35" s="24" t="s">
        <v>119</v>
      </c>
      <c r="M35" s="24">
        <v>83.325000000000003</v>
      </c>
      <c r="N35" s="24">
        <v>48.378999999999998</v>
      </c>
      <c r="O35" s="24"/>
      <c r="P35" s="24"/>
      <c r="Q35" s="24"/>
      <c r="R35" s="24"/>
      <c r="S35" s="24"/>
      <c r="T35" s="24"/>
      <c r="U35" s="24"/>
      <c r="V35" s="24"/>
      <c r="W35" s="24">
        <v>40.097000000000001</v>
      </c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20</v>
      </c>
      <c r="AS35" s="29" t="s">
        <v>8</v>
      </c>
      <c r="AT35" s="29"/>
      <c r="AU35" s="29"/>
      <c r="AV35" s="29"/>
      <c r="AW35" s="29"/>
      <c r="AX35" s="29" t="s">
        <v>8</v>
      </c>
      <c r="AY35" s="24"/>
      <c r="AZ35" s="29">
        <v>0</v>
      </c>
      <c r="BA35" s="29">
        <v>0</v>
      </c>
      <c r="BB35" s="29">
        <v>7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/>
      <c r="BK35" s="29" t="s">
        <v>8</v>
      </c>
      <c r="BL35" s="29"/>
      <c r="BM35" s="29" t="s">
        <v>8</v>
      </c>
      <c r="BN35" s="29"/>
      <c r="BO35" s="29"/>
      <c r="BP35" s="29"/>
      <c r="BQ35" s="30"/>
      <c r="BR35" s="30"/>
      <c r="BS35" s="29"/>
      <c r="BT35" s="29" t="s">
        <v>8</v>
      </c>
      <c r="BU35" s="24" t="s">
        <v>120</v>
      </c>
      <c r="BV35" s="66" t="s">
        <v>76</v>
      </c>
      <c r="BW35" s="32" t="s">
        <v>77</v>
      </c>
    </row>
    <row r="36" spans="1:75" x14ac:dyDescent="0.15">
      <c r="A36" s="33">
        <v>243</v>
      </c>
      <c r="B36" s="26">
        <v>41741</v>
      </c>
      <c r="C36" s="27" t="s">
        <v>92</v>
      </c>
      <c r="D36" s="24" t="s">
        <v>11</v>
      </c>
      <c r="E36" s="24"/>
      <c r="F36" s="24" t="s">
        <v>17</v>
      </c>
      <c r="G36" s="28">
        <v>41495</v>
      </c>
      <c r="H36" s="29" t="s">
        <v>46</v>
      </c>
      <c r="I36" s="29" t="s">
        <v>8</v>
      </c>
      <c r="J36" s="29"/>
      <c r="K36" s="24" t="s">
        <v>124</v>
      </c>
      <c r="L36" s="24" t="s">
        <v>125</v>
      </c>
      <c r="M36" s="24">
        <v>89.5</v>
      </c>
      <c r="N36" s="24">
        <v>48.7</v>
      </c>
      <c r="O36" s="24"/>
      <c r="P36" s="25"/>
      <c r="Q36" s="24"/>
      <c r="R36" s="25"/>
      <c r="S36" s="24"/>
      <c r="T36" s="25"/>
      <c r="U36" s="24"/>
      <c r="V36" s="24"/>
      <c r="W36" s="24">
        <v>30.95</v>
      </c>
      <c r="X36" s="24"/>
      <c r="Y36" s="24"/>
      <c r="Z36" s="24"/>
      <c r="AA36" s="24"/>
      <c r="AB36" s="24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20</v>
      </c>
      <c r="AS36" s="29" t="s">
        <v>8</v>
      </c>
      <c r="AT36" s="29"/>
      <c r="AU36" s="29"/>
      <c r="AV36" s="29" t="s">
        <v>37</v>
      </c>
      <c r="AW36" s="29">
        <v>11.6</v>
      </c>
      <c r="AX36" s="29" t="s">
        <v>8</v>
      </c>
      <c r="AY36" s="24"/>
      <c r="AZ36" s="29">
        <v>0</v>
      </c>
      <c r="BA36" s="29">
        <v>0</v>
      </c>
      <c r="BB36" s="29">
        <v>0</v>
      </c>
      <c r="BC36" s="29">
        <v>20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/>
      <c r="BK36" s="29" t="s">
        <v>8</v>
      </c>
      <c r="BL36" s="29"/>
      <c r="BM36" s="29" t="s">
        <v>8</v>
      </c>
      <c r="BN36" s="29"/>
      <c r="BO36" s="29"/>
      <c r="BP36" s="29"/>
      <c r="BQ36" s="30" t="s">
        <v>127</v>
      </c>
      <c r="BR36" s="24"/>
      <c r="BS36" s="29"/>
      <c r="BT36" s="29" t="s">
        <v>8</v>
      </c>
      <c r="BU36" s="24"/>
      <c r="BV36" t="s">
        <v>424</v>
      </c>
      <c r="BW36" s="32" t="s">
        <v>32</v>
      </c>
    </row>
    <row r="37" spans="1:75" x14ac:dyDescent="0.15">
      <c r="A37" s="33">
        <v>397</v>
      </c>
      <c r="B37" s="26">
        <v>41741</v>
      </c>
      <c r="C37" s="27" t="s">
        <v>92</v>
      </c>
      <c r="D37" s="24" t="s">
        <v>11</v>
      </c>
      <c r="E37" s="24"/>
      <c r="F37" s="24" t="s">
        <v>17</v>
      </c>
      <c r="G37" s="28">
        <v>41639</v>
      </c>
      <c r="H37" s="29" t="s">
        <v>46</v>
      </c>
      <c r="I37" s="29" t="s">
        <v>8</v>
      </c>
      <c r="J37" s="29"/>
      <c r="K37" s="24" t="s">
        <v>130</v>
      </c>
      <c r="L37" s="24" t="s">
        <v>131</v>
      </c>
      <c r="M37" s="24">
        <v>99.5</v>
      </c>
      <c r="N37" s="24">
        <v>41.9</v>
      </c>
      <c r="O37" s="24" t="s">
        <v>3</v>
      </c>
      <c r="P37" s="25">
        <v>1000</v>
      </c>
      <c r="Q37" s="24">
        <v>42.6</v>
      </c>
      <c r="R37" s="25">
        <v>1500</v>
      </c>
      <c r="S37" s="24">
        <v>44.9</v>
      </c>
      <c r="T37" s="25"/>
      <c r="U37" s="24"/>
      <c r="V37" s="24"/>
      <c r="W37" s="24">
        <v>27.95</v>
      </c>
      <c r="X37" s="24"/>
      <c r="Y37" s="24"/>
      <c r="Z37" s="24"/>
      <c r="AA37" s="24"/>
      <c r="AB37" s="24"/>
      <c r="AC37" s="24"/>
      <c r="AD37" s="24"/>
      <c r="AE37" s="24"/>
      <c r="AF37" s="24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t="s">
        <v>20</v>
      </c>
      <c r="AS37" s="29" t="s">
        <v>8</v>
      </c>
      <c r="AT37" s="29"/>
      <c r="AU37" s="29"/>
      <c r="AV37" s="29" t="s">
        <v>37</v>
      </c>
      <c r="AW37" s="29">
        <v>12</v>
      </c>
      <c r="AX37" s="29" t="s">
        <v>103</v>
      </c>
      <c r="AY37" s="24"/>
      <c r="AZ37" s="29">
        <v>0</v>
      </c>
      <c r="BA37" s="29">
        <v>0</v>
      </c>
      <c r="BB37" s="29">
        <v>7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24</v>
      </c>
      <c r="BK37" s="29" t="s">
        <v>46</v>
      </c>
      <c r="BL37" s="29"/>
      <c r="BM37" s="29" t="s">
        <v>8</v>
      </c>
      <c r="BN37" s="29"/>
      <c r="BO37" s="29"/>
      <c r="BP37" s="29"/>
      <c r="BQ37" s="24"/>
      <c r="BR37" s="24"/>
      <c r="BS37" s="29"/>
      <c r="BT37" s="29" t="s">
        <v>8</v>
      </c>
      <c r="BU37" s="24" t="s">
        <v>136</v>
      </c>
      <c r="BV37" t="s">
        <v>76</v>
      </c>
      <c r="BW37" s="32" t="s">
        <v>32</v>
      </c>
    </row>
    <row r="38" spans="1:75" x14ac:dyDescent="0.15">
      <c r="A38" s="33">
        <v>575</v>
      </c>
      <c r="B38" s="26">
        <v>41741</v>
      </c>
      <c r="C38" s="27" t="s">
        <v>92</v>
      </c>
      <c r="D38" s="24" t="s">
        <v>11</v>
      </c>
      <c r="E38" s="24"/>
      <c r="F38" s="24" t="s">
        <v>17</v>
      </c>
      <c r="G38" s="28">
        <v>41667</v>
      </c>
      <c r="H38" s="29" t="s">
        <v>46</v>
      </c>
      <c r="I38" s="29" t="s">
        <v>8</v>
      </c>
      <c r="J38" s="29"/>
      <c r="K38" s="24" t="s">
        <v>24</v>
      </c>
      <c r="L38" s="24" t="s">
        <v>35</v>
      </c>
      <c r="M38" s="24">
        <v>89.6</v>
      </c>
      <c r="N38" s="24">
        <v>52.42</v>
      </c>
      <c r="O38" s="24"/>
      <c r="P38" s="25"/>
      <c r="Q38" s="24"/>
      <c r="R38" s="25"/>
      <c r="S38" s="24"/>
      <c r="T38" s="25"/>
      <c r="U38" s="24"/>
      <c r="V38" s="24"/>
      <c r="W38" s="24">
        <v>25.3</v>
      </c>
      <c r="X38" s="25"/>
      <c r="Y38" s="24"/>
      <c r="Z38" s="25"/>
      <c r="AA38" s="24"/>
      <c r="AB38" s="25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 t="s">
        <v>20</v>
      </c>
      <c r="AS38" s="29" t="s">
        <v>8</v>
      </c>
      <c r="AT38" s="29"/>
      <c r="AU38" s="29"/>
      <c r="AV38" s="29" t="s">
        <v>37</v>
      </c>
      <c r="AW38" s="29">
        <v>15</v>
      </c>
      <c r="AX38" s="29" t="s">
        <v>103</v>
      </c>
      <c r="AY38" s="24"/>
      <c r="AZ38" s="29">
        <v>0</v>
      </c>
      <c r="BA38" s="29">
        <v>16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24</v>
      </c>
      <c r="BK38" s="29" t="s">
        <v>46</v>
      </c>
      <c r="BL38" s="29"/>
      <c r="BM38" s="29" t="s">
        <v>8</v>
      </c>
      <c r="BN38" s="29"/>
      <c r="BO38" s="29"/>
      <c r="BP38" s="29"/>
      <c r="BQ38" s="24"/>
      <c r="BR38" s="24"/>
      <c r="BS38" s="29"/>
      <c r="BT38" s="29" t="s">
        <v>8</v>
      </c>
      <c r="BU38" s="24"/>
      <c r="BV38" s="66" t="s">
        <v>76</v>
      </c>
      <c r="BW38" s="67" t="s">
        <v>77</v>
      </c>
    </row>
    <row r="39" spans="1:75" x14ac:dyDescent="0.15">
      <c r="A39" s="33">
        <v>704</v>
      </c>
      <c r="B39" s="26">
        <v>41741</v>
      </c>
      <c r="C39" s="27" t="s">
        <v>92</v>
      </c>
      <c r="D39" s="24" t="s">
        <v>11</v>
      </c>
      <c r="E39" s="24"/>
      <c r="F39" s="24" t="s">
        <v>17</v>
      </c>
      <c r="G39" s="28">
        <v>41429</v>
      </c>
      <c r="H39" s="29" t="s">
        <v>46</v>
      </c>
      <c r="I39" s="29" t="s">
        <v>8</v>
      </c>
      <c r="J39" s="29"/>
      <c r="K39" s="24" t="s">
        <v>40</v>
      </c>
      <c r="L39" s="24" t="s">
        <v>41</v>
      </c>
      <c r="M39" s="24">
        <v>110</v>
      </c>
      <c r="N39" s="24">
        <v>56.83</v>
      </c>
      <c r="O39" s="24"/>
      <c r="P39" s="24"/>
      <c r="Q39" s="24"/>
      <c r="R39" s="24"/>
      <c r="S39" s="24"/>
      <c r="T39" s="24"/>
      <c r="U39" s="24"/>
      <c r="V39" s="24"/>
      <c r="W39" s="24">
        <v>28.64</v>
      </c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20</v>
      </c>
      <c r="AS39" s="29" t="s">
        <v>8</v>
      </c>
      <c r="AT39" s="29"/>
      <c r="AU39" s="29"/>
      <c r="AV39" s="29" t="s">
        <v>37</v>
      </c>
      <c r="AW39" s="29">
        <v>6.8</v>
      </c>
      <c r="AX39" s="29" t="s">
        <v>8</v>
      </c>
      <c r="AY39" s="24"/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/>
      <c r="BK39" s="29" t="s">
        <v>8</v>
      </c>
      <c r="BL39" s="29"/>
      <c r="BM39" s="29" t="s">
        <v>8</v>
      </c>
      <c r="BN39" s="29"/>
      <c r="BO39" s="29"/>
      <c r="BP39" s="29"/>
      <c r="BQ39" s="30"/>
      <c r="BR39" s="30"/>
      <c r="BS39" s="29"/>
      <c r="BT39" s="29" t="s">
        <v>8</v>
      </c>
      <c r="BU39" s="24"/>
      <c r="BV39" t="s">
        <v>425</v>
      </c>
      <c r="BW39" s="32" t="s">
        <v>77</v>
      </c>
    </row>
    <row r="40" spans="1:75" x14ac:dyDescent="0.15">
      <c r="A40" s="33">
        <v>3066</v>
      </c>
      <c r="B40" s="26">
        <v>41741</v>
      </c>
      <c r="C40" s="27" t="s">
        <v>92</v>
      </c>
      <c r="D40" s="24" t="s">
        <v>11</v>
      </c>
      <c r="E40" s="24"/>
      <c r="F40" s="24" t="s">
        <v>17</v>
      </c>
      <c r="G40" s="28">
        <v>41468</v>
      </c>
      <c r="H40" s="29" t="s">
        <v>46</v>
      </c>
      <c r="I40" s="29" t="s">
        <v>8</v>
      </c>
      <c r="J40" s="29"/>
      <c r="K40" s="24" t="s">
        <v>302</v>
      </c>
      <c r="L40" s="24" t="s">
        <v>359</v>
      </c>
      <c r="M40" s="24">
        <v>86.36</v>
      </c>
      <c r="N40" s="24">
        <v>37.1</v>
      </c>
      <c r="O40" s="24" t="s">
        <v>3</v>
      </c>
      <c r="P40" s="25">
        <v>2500</v>
      </c>
      <c r="Q40" s="24">
        <v>37.1</v>
      </c>
      <c r="R40" s="25"/>
      <c r="S40" s="24"/>
      <c r="T40" s="25"/>
      <c r="U40" s="24"/>
      <c r="V40" s="24"/>
      <c r="W40" s="24">
        <v>27.4</v>
      </c>
      <c r="X40" s="24"/>
      <c r="Y40" s="24"/>
      <c r="Z40" s="24"/>
      <c r="AA40" s="24"/>
      <c r="AB40" s="24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 t="s">
        <v>20</v>
      </c>
      <c r="AS40" s="69" t="s">
        <v>8</v>
      </c>
      <c r="AT40" s="29"/>
      <c r="AU40" s="29"/>
      <c r="AV40" s="29" t="s">
        <v>37</v>
      </c>
      <c r="AW40" s="29">
        <v>16</v>
      </c>
      <c r="AX40" s="29" t="s">
        <v>361</v>
      </c>
      <c r="AY40" s="24"/>
      <c r="AZ40" s="29">
        <v>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36</v>
      </c>
      <c r="BK40" s="29" t="s">
        <v>8</v>
      </c>
      <c r="BL40" s="29"/>
      <c r="BM40" s="29" t="s">
        <v>8</v>
      </c>
      <c r="BN40" s="29"/>
      <c r="BO40" s="29"/>
      <c r="BP40" s="29"/>
      <c r="BQ40" s="24"/>
      <c r="BR40" s="24"/>
      <c r="BS40" s="29"/>
      <c r="BT40" s="29" t="s">
        <v>8</v>
      </c>
      <c r="BU40" s="24"/>
      <c r="BV40" t="s">
        <v>426</v>
      </c>
      <c r="BW40" s="32" t="s">
        <v>77</v>
      </c>
    </row>
    <row r="41" spans="1:75" x14ac:dyDescent="0.15">
      <c r="A41" s="33">
        <v>924</v>
      </c>
      <c r="B41" s="26">
        <v>41741</v>
      </c>
      <c r="C41" s="27" t="s">
        <v>92</v>
      </c>
      <c r="D41" s="24" t="s">
        <v>11</v>
      </c>
      <c r="E41" s="24"/>
      <c r="F41" s="24" t="s">
        <v>17</v>
      </c>
      <c r="G41" s="28">
        <v>41563</v>
      </c>
      <c r="H41" s="29" t="s">
        <v>46</v>
      </c>
      <c r="I41" s="29" t="s">
        <v>8</v>
      </c>
      <c r="J41" s="29"/>
      <c r="K41" s="24" t="s">
        <v>53</v>
      </c>
      <c r="L41" s="24" t="s">
        <v>54</v>
      </c>
      <c r="M41" s="24">
        <v>88.74</v>
      </c>
      <c r="N41" s="24">
        <v>45.58</v>
      </c>
      <c r="O41" s="24" t="s">
        <v>3</v>
      </c>
      <c r="P41" s="25">
        <v>1200</v>
      </c>
      <c r="Q41" s="24">
        <v>44.67</v>
      </c>
      <c r="R41" s="25"/>
      <c r="S41" s="24"/>
      <c r="T41" s="25"/>
      <c r="U41" s="24"/>
      <c r="V41" s="24"/>
      <c r="W41" s="24">
        <v>27.3</v>
      </c>
      <c r="X41" s="24"/>
      <c r="Y41" s="24"/>
      <c r="Z41" s="24"/>
      <c r="AA41" s="24"/>
      <c r="AB41" s="24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 t="s">
        <v>20</v>
      </c>
      <c r="AS41" s="29" t="s">
        <v>8</v>
      </c>
      <c r="AT41" s="29"/>
      <c r="AU41" s="29"/>
      <c r="AV41" s="29" t="s">
        <v>37</v>
      </c>
      <c r="AW41" s="29">
        <v>6.8</v>
      </c>
      <c r="AX41" s="29" t="s">
        <v>8</v>
      </c>
      <c r="AY41" s="24"/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12</v>
      </c>
      <c r="BK41" s="29" t="s">
        <v>46</v>
      </c>
      <c r="BL41" s="29"/>
      <c r="BM41" s="29" t="s">
        <v>8</v>
      </c>
      <c r="BN41" s="29"/>
      <c r="BO41" s="29"/>
      <c r="BP41" s="29"/>
      <c r="BQ41" s="24"/>
      <c r="BR41" s="24"/>
      <c r="BS41" s="29"/>
      <c r="BT41" s="29" t="s">
        <v>8</v>
      </c>
      <c r="BU41" s="24" t="s">
        <v>56</v>
      </c>
      <c r="BV41" t="s">
        <v>427</v>
      </c>
      <c r="BW41" s="32" t="s">
        <v>77</v>
      </c>
    </row>
    <row r="42" spans="1:75" x14ac:dyDescent="0.15">
      <c r="A42" s="33">
        <v>1151</v>
      </c>
      <c r="B42" s="26">
        <v>41741</v>
      </c>
      <c r="C42" s="27" t="s">
        <v>92</v>
      </c>
      <c r="D42" s="24" t="s">
        <v>11</v>
      </c>
      <c r="E42" s="24"/>
      <c r="F42" s="24" t="s">
        <v>17</v>
      </c>
      <c r="G42" s="28">
        <v>41720</v>
      </c>
      <c r="H42" s="29" t="s">
        <v>46</v>
      </c>
      <c r="I42" s="29" t="s">
        <v>8</v>
      </c>
      <c r="J42" s="29"/>
      <c r="K42" s="24" t="s">
        <v>10</v>
      </c>
      <c r="L42" s="24" t="s">
        <v>60</v>
      </c>
      <c r="M42" s="24">
        <v>90.95</v>
      </c>
      <c r="N42" s="24">
        <v>42.66</v>
      </c>
      <c r="O42" s="24"/>
      <c r="P42" s="25"/>
      <c r="Q42" s="24"/>
      <c r="R42" s="25"/>
      <c r="S42" s="24"/>
      <c r="T42" s="25"/>
      <c r="U42" s="24"/>
      <c r="V42" s="24"/>
      <c r="W42" s="24">
        <v>27.7</v>
      </c>
      <c r="X42" s="24"/>
      <c r="Y42" s="24"/>
      <c r="Z42" s="25"/>
      <c r="AA42" s="24"/>
      <c r="AB42" s="25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 t="s">
        <v>20</v>
      </c>
      <c r="AS42" s="29" t="s">
        <v>8</v>
      </c>
      <c r="AT42" s="29"/>
      <c r="AU42" s="29"/>
      <c r="AV42" s="29" t="s">
        <v>37</v>
      </c>
      <c r="AW42" s="29">
        <v>11</v>
      </c>
      <c r="AX42" s="29" t="s">
        <v>103</v>
      </c>
      <c r="AY42" s="24"/>
      <c r="AZ42" s="29">
        <v>0</v>
      </c>
      <c r="BA42" s="29">
        <v>16</v>
      </c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12</v>
      </c>
      <c r="BK42" s="29" t="s">
        <v>46</v>
      </c>
      <c r="BL42" s="29"/>
      <c r="BM42" s="29" t="s">
        <v>8</v>
      </c>
      <c r="BN42" s="29"/>
      <c r="BO42" s="29"/>
      <c r="BP42" s="29"/>
      <c r="BQ42" s="30"/>
      <c r="BR42" s="30"/>
      <c r="BS42" s="29"/>
      <c r="BT42" s="29" t="s">
        <v>8</v>
      </c>
      <c r="BU42" s="30" t="s">
        <v>61</v>
      </c>
      <c r="BV42" s="66" t="s">
        <v>76</v>
      </c>
      <c r="BW42" s="67" t="s">
        <v>39</v>
      </c>
    </row>
    <row r="43" spans="1:75" x14ac:dyDescent="0.15">
      <c r="A43" s="33">
        <v>1325</v>
      </c>
      <c r="B43" s="26">
        <v>41741</v>
      </c>
      <c r="C43" s="27" t="s">
        <v>92</v>
      </c>
      <c r="D43" s="24" t="s">
        <v>11</v>
      </c>
      <c r="E43" s="24"/>
      <c r="F43" s="24" t="s">
        <v>17</v>
      </c>
      <c r="G43" s="28">
        <v>41608</v>
      </c>
      <c r="H43" s="29" t="s">
        <v>46</v>
      </c>
      <c r="I43" s="29" t="s">
        <v>8</v>
      </c>
      <c r="J43" s="29"/>
      <c r="K43" s="24" t="s">
        <v>64</v>
      </c>
      <c r="L43" s="24" t="s">
        <v>65</v>
      </c>
      <c r="M43" s="24">
        <v>91</v>
      </c>
      <c r="N43" s="24">
        <v>36.119999999999997</v>
      </c>
      <c r="O43" s="24"/>
      <c r="P43" s="25"/>
      <c r="Q43" s="24"/>
      <c r="R43" s="25"/>
      <c r="S43" s="24"/>
      <c r="T43" s="25"/>
      <c r="U43" s="24"/>
      <c r="V43" s="24"/>
      <c r="W43" s="24">
        <v>23.52</v>
      </c>
      <c r="X43" s="24"/>
      <c r="Y43" s="24"/>
      <c r="Z43" s="25"/>
      <c r="AA43" s="24"/>
      <c r="AB43" s="25"/>
      <c r="AC43" s="24"/>
      <c r="AD43" s="24"/>
      <c r="AE43" s="24"/>
      <c r="AF43" s="24"/>
      <c r="AG43" s="25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 t="s">
        <v>20</v>
      </c>
      <c r="AS43" s="29" t="s">
        <v>8</v>
      </c>
      <c r="AT43" s="29"/>
      <c r="AU43" s="29"/>
      <c r="AV43" s="29" t="s">
        <v>37</v>
      </c>
      <c r="AW43" s="29">
        <v>16.3</v>
      </c>
      <c r="AX43" s="29" t="s">
        <v>103</v>
      </c>
      <c r="AY43" s="24"/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/>
      <c r="BK43" s="29" t="s">
        <v>8</v>
      </c>
      <c r="BL43" s="29">
        <v>24</v>
      </c>
      <c r="BM43" s="29" t="s">
        <v>8</v>
      </c>
      <c r="BN43" s="29"/>
      <c r="BO43" s="29"/>
      <c r="BP43" s="29"/>
      <c r="BQ43" s="30"/>
      <c r="BR43" s="30"/>
      <c r="BS43" s="29"/>
      <c r="BT43" s="29" t="s">
        <v>8</v>
      </c>
      <c r="BU43" s="24" t="s">
        <v>66</v>
      </c>
      <c r="BV43" t="s">
        <v>428</v>
      </c>
      <c r="BW43" s="32" t="s">
        <v>77</v>
      </c>
    </row>
    <row r="44" spans="1:75" x14ac:dyDescent="0.15">
      <c r="A44" s="33">
        <v>1481</v>
      </c>
      <c r="B44" s="26">
        <v>41741</v>
      </c>
      <c r="C44" s="27" t="s">
        <v>92</v>
      </c>
      <c r="D44" s="24" t="s">
        <v>11</v>
      </c>
      <c r="E44" s="24"/>
      <c r="F44" s="24" t="s">
        <v>17</v>
      </c>
      <c r="G44" s="31">
        <v>41479</v>
      </c>
      <c r="H44" s="29" t="s">
        <v>46</v>
      </c>
      <c r="I44" s="29" t="s">
        <v>8</v>
      </c>
      <c r="J44" s="29"/>
      <c r="K44" s="24" t="s">
        <v>68</v>
      </c>
      <c r="L44" s="24" t="s">
        <v>429</v>
      </c>
      <c r="M44" s="24">
        <v>102.5</v>
      </c>
      <c r="N44" s="24">
        <v>45.42</v>
      </c>
      <c r="O44" s="24"/>
      <c r="P44" s="25"/>
      <c r="Q44" s="24"/>
      <c r="R44" s="25"/>
      <c r="S44" s="24"/>
      <c r="T44" s="25"/>
      <c r="U44" s="24"/>
      <c r="V44" s="24"/>
      <c r="W44" s="24">
        <v>33.51</v>
      </c>
      <c r="X44" s="24"/>
      <c r="Y44" s="24"/>
      <c r="Z44" s="24"/>
      <c r="AA44" s="24"/>
      <c r="AB44" s="24"/>
      <c r="AC44" s="24"/>
      <c r="AD44" s="24"/>
      <c r="AE44" s="24"/>
      <c r="AF44" s="24"/>
      <c r="AG44" s="25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 t="s">
        <v>20</v>
      </c>
      <c r="AS44" s="29" t="s">
        <v>8</v>
      </c>
      <c r="AT44" s="29"/>
      <c r="AU44" s="29"/>
      <c r="AV44" s="29" t="s">
        <v>37</v>
      </c>
      <c r="AW44" s="29">
        <v>16</v>
      </c>
      <c r="AX44" s="29" t="s">
        <v>103</v>
      </c>
      <c r="AY44" s="24"/>
      <c r="AZ44" s="29">
        <v>0</v>
      </c>
      <c r="BA44" s="29">
        <v>0</v>
      </c>
      <c r="BB44" s="29">
        <v>10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/>
      <c r="BK44" s="29" t="s">
        <v>8</v>
      </c>
      <c r="BL44" s="29"/>
      <c r="BM44" s="29" t="s">
        <v>8</v>
      </c>
      <c r="BN44" s="29"/>
      <c r="BO44" s="29"/>
      <c r="BP44" s="29"/>
      <c r="BQ44" s="24"/>
      <c r="BR44" s="24"/>
      <c r="BS44" s="29"/>
      <c r="BT44" s="29" t="s">
        <v>8</v>
      </c>
      <c r="BU44" s="24"/>
      <c r="BV44" t="s">
        <v>430</v>
      </c>
      <c r="BW44" s="32" t="s">
        <v>77</v>
      </c>
    </row>
    <row r="45" spans="1:75" x14ac:dyDescent="0.15">
      <c r="A45" s="33">
        <v>2356</v>
      </c>
      <c r="B45" s="26">
        <v>41741</v>
      </c>
      <c r="C45" s="27" t="s">
        <v>377</v>
      </c>
      <c r="D45" s="24" t="s">
        <v>378</v>
      </c>
      <c r="E45" s="24"/>
      <c r="F45" s="24" t="s">
        <v>417</v>
      </c>
      <c r="G45" s="31">
        <v>41671</v>
      </c>
      <c r="H45" s="29" t="s">
        <v>175</v>
      </c>
      <c r="I45" s="29" t="s">
        <v>174</v>
      </c>
      <c r="J45" s="29"/>
      <c r="K45" s="24" t="s">
        <v>307</v>
      </c>
      <c r="L45" s="24" t="s">
        <v>73</v>
      </c>
      <c r="M45" s="24">
        <v>99.59</v>
      </c>
      <c r="N45" s="24">
        <v>48.75</v>
      </c>
      <c r="O45" s="24"/>
      <c r="P45" s="25"/>
      <c r="Q45" s="24"/>
      <c r="R45" s="25"/>
      <c r="S45" s="24"/>
      <c r="T45" s="25"/>
      <c r="U45" s="24"/>
      <c r="V45" s="24"/>
      <c r="W45" s="24">
        <v>28.55</v>
      </c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 t="s">
        <v>418</v>
      </c>
      <c r="AS45" s="29" t="s">
        <v>174</v>
      </c>
      <c r="AT45" s="29"/>
      <c r="AU45" s="29"/>
      <c r="AV45" s="29" t="s">
        <v>382</v>
      </c>
      <c r="AW45" s="29">
        <v>17</v>
      </c>
      <c r="AX45" s="29" t="s">
        <v>8</v>
      </c>
      <c r="AY45" s="24"/>
      <c r="AZ45" s="29">
        <v>0</v>
      </c>
      <c r="BA45" s="29">
        <v>15</v>
      </c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24</v>
      </c>
      <c r="BK45" s="29" t="s">
        <v>46</v>
      </c>
      <c r="BL45" s="29"/>
      <c r="BM45" s="29" t="s">
        <v>8</v>
      </c>
      <c r="BN45" s="29"/>
      <c r="BO45" s="29"/>
      <c r="BP45" s="29"/>
      <c r="BQ45" s="30" t="s">
        <v>15</v>
      </c>
      <c r="BR45" s="30" t="s">
        <v>75</v>
      </c>
      <c r="BS45" s="29">
        <v>50</v>
      </c>
      <c r="BT45" s="29" t="s">
        <v>8</v>
      </c>
      <c r="BU45" s="24"/>
      <c r="BV45" t="s">
        <v>16</v>
      </c>
      <c r="BW45" s="32" t="s">
        <v>77</v>
      </c>
    </row>
    <row r="46" spans="1:75" x14ac:dyDescent="0.15">
      <c r="A46" s="33">
        <v>3331</v>
      </c>
      <c r="B46" s="26">
        <v>41741</v>
      </c>
      <c r="C46" s="27" t="s">
        <v>92</v>
      </c>
      <c r="D46" s="24" t="s">
        <v>11</v>
      </c>
      <c r="E46" s="24"/>
      <c r="F46" s="24" t="s">
        <v>17</v>
      </c>
      <c r="G46" s="31">
        <v>41703</v>
      </c>
      <c r="H46" s="29" t="s">
        <v>8</v>
      </c>
      <c r="I46" s="29" t="s">
        <v>96</v>
      </c>
      <c r="J46" s="29"/>
      <c r="K46" s="24" t="s">
        <v>431</v>
      </c>
      <c r="L46" s="68" t="s">
        <v>432</v>
      </c>
      <c r="M46" s="24">
        <v>100</v>
      </c>
      <c r="N46" s="24">
        <v>43.44</v>
      </c>
      <c r="O46" s="24"/>
      <c r="P46" s="24"/>
      <c r="Q46" s="24"/>
      <c r="R46" s="24"/>
      <c r="S46" s="24"/>
      <c r="T46" s="24"/>
      <c r="U46" s="24"/>
      <c r="V46" s="24"/>
      <c r="W46" s="24">
        <v>28.14</v>
      </c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 t="s">
        <v>20</v>
      </c>
      <c r="AS46" s="29" t="s">
        <v>8</v>
      </c>
      <c r="AT46" s="29"/>
      <c r="AU46" s="29"/>
      <c r="AV46" s="29"/>
      <c r="AW46" s="29"/>
      <c r="AX46" s="29" t="s">
        <v>8</v>
      </c>
      <c r="AY46" s="24"/>
      <c r="AZ46" s="29">
        <v>0</v>
      </c>
      <c r="BA46" s="29">
        <v>0</v>
      </c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/>
      <c r="BK46" s="29" t="s">
        <v>8</v>
      </c>
      <c r="BL46" s="29"/>
      <c r="BM46" s="29" t="s">
        <v>8</v>
      </c>
      <c r="BN46" s="29"/>
      <c r="BO46" s="29"/>
      <c r="BP46" s="29"/>
      <c r="BQ46" s="30"/>
      <c r="BR46" s="30"/>
      <c r="BS46" s="29"/>
      <c r="BT46" s="29" t="s">
        <v>8</v>
      </c>
      <c r="BU46" s="24" t="s">
        <v>433</v>
      </c>
      <c r="BV46" t="s">
        <v>76</v>
      </c>
      <c r="BW46" s="32" t="s">
        <v>77</v>
      </c>
    </row>
    <row r="47" spans="1:75" x14ac:dyDescent="0.15">
      <c r="A47" s="33">
        <v>2950</v>
      </c>
      <c r="B47" s="26">
        <v>41741</v>
      </c>
      <c r="C47" s="27" t="s">
        <v>377</v>
      </c>
      <c r="D47" s="24" t="s">
        <v>378</v>
      </c>
      <c r="E47" s="24"/>
      <c r="F47" s="24" t="s">
        <v>417</v>
      </c>
      <c r="G47" s="28">
        <v>41517</v>
      </c>
      <c r="H47" s="29" t="s">
        <v>8</v>
      </c>
      <c r="I47" s="29" t="s">
        <v>96</v>
      </c>
      <c r="J47" s="29"/>
      <c r="K47" s="24" t="s">
        <v>434</v>
      </c>
      <c r="L47" s="24" t="s">
        <v>435</v>
      </c>
      <c r="M47" s="24">
        <v>109.756</v>
      </c>
      <c r="N47" s="24">
        <v>41.463000000000001</v>
      </c>
      <c r="O47" s="24"/>
      <c r="P47" s="25"/>
      <c r="Q47" s="24"/>
      <c r="R47" s="25"/>
      <c r="S47" s="24"/>
      <c r="T47" s="25"/>
      <c r="U47" s="24"/>
      <c r="V47" s="24"/>
      <c r="W47" s="24">
        <v>26.829000000000001</v>
      </c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 t="s">
        <v>418</v>
      </c>
      <c r="AS47" s="29" t="s">
        <v>174</v>
      </c>
      <c r="AT47" s="29"/>
      <c r="AU47" s="29"/>
      <c r="AV47" s="29"/>
      <c r="AW47" s="29"/>
      <c r="AX47" s="29" t="s">
        <v>103</v>
      </c>
      <c r="AY47" s="24"/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24</v>
      </c>
      <c r="BK47" s="29" t="s">
        <v>46</v>
      </c>
      <c r="BL47" s="29"/>
      <c r="BM47" s="29" t="s">
        <v>8</v>
      </c>
      <c r="BN47" s="29"/>
      <c r="BO47" s="29"/>
      <c r="BP47" s="29"/>
      <c r="BQ47" s="24"/>
      <c r="BR47" s="24"/>
      <c r="BS47" s="29"/>
      <c r="BT47" s="29" t="s">
        <v>8</v>
      </c>
      <c r="BU47" s="24"/>
      <c r="BV47" t="s">
        <v>436</v>
      </c>
      <c r="BW47" s="32" t="s">
        <v>77</v>
      </c>
    </row>
    <row r="48" spans="1:75" x14ac:dyDescent="0.15">
      <c r="A48" s="33">
        <v>3118</v>
      </c>
      <c r="B48" s="26">
        <v>41741</v>
      </c>
      <c r="C48" s="27" t="s">
        <v>92</v>
      </c>
      <c r="D48" s="24" t="s">
        <v>11</v>
      </c>
      <c r="E48" s="24"/>
      <c r="F48" s="24" t="s">
        <v>17</v>
      </c>
      <c r="G48" s="28">
        <v>41549</v>
      </c>
      <c r="H48" s="29" t="s">
        <v>8</v>
      </c>
      <c r="I48" s="29" t="s">
        <v>96</v>
      </c>
      <c r="J48" s="29"/>
      <c r="K48" s="24" t="s">
        <v>437</v>
      </c>
      <c r="L48" s="24" t="s">
        <v>438</v>
      </c>
      <c r="M48" s="24">
        <v>82.5</v>
      </c>
      <c r="N48" s="24">
        <v>47.9</v>
      </c>
      <c r="O48" s="24"/>
      <c r="P48" s="25"/>
      <c r="Q48" s="24"/>
      <c r="R48" s="25"/>
      <c r="S48" s="24"/>
      <c r="T48" s="25"/>
      <c r="U48" s="24"/>
      <c r="V48" s="24"/>
      <c r="W48" s="24">
        <v>39.700000000000003</v>
      </c>
      <c r="X48" s="25"/>
      <c r="Y48" s="24"/>
      <c r="Z48" s="25"/>
      <c r="AA48" s="24"/>
      <c r="AB48" s="25"/>
      <c r="AC48" s="24"/>
      <c r="AD48" s="24"/>
      <c r="AE48" s="24"/>
      <c r="AF48" s="24"/>
      <c r="AG48" s="25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 t="s">
        <v>20</v>
      </c>
      <c r="AS48" s="29" t="s">
        <v>174</v>
      </c>
      <c r="AT48" s="29"/>
      <c r="AU48" s="29"/>
      <c r="AV48" s="29"/>
      <c r="AW48" s="29"/>
      <c r="AX48" s="29" t="s">
        <v>174</v>
      </c>
      <c r="AY48" s="24"/>
      <c r="AZ48" s="29">
        <v>0</v>
      </c>
      <c r="BA48" s="29">
        <v>0</v>
      </c>
      <c r="BB48" s="29">
        <v>16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/>
      <c r="BK48" s="29" t="s">
        <v>8</v>
      </c>
      <c r="BL48" s="29"/>
      <c r="BM48" s="29" t="s">
        <v>8</v>
      </c>
      <c r="BN48" s="29"/>
      <c r="BO48" s="29"/>
      <c r="BP48" s="29"/>
      <c r="BQ48" s="30"/>
      <c r="BR48" s="30"/>
      <c r="BS48" s="29"/>
      <c r="BT48" s="29" t="s">
        <v>8</v>
      </c>
      <c r="BU48" s="24" t="s">
        <v>439</v>
      </c>
      <c r="BV48" t="s">
        <v>440</v>
      </c>
      <c r="BW48" s="32" t="s">
        <v>77</v>
      </c>
    </row>
  </sheetData>
  <sheetProtection algorithmName="SHA-512" hashValue="dHreVQD5N9i4+5NtJkEGk+8kZIGhUEWmkSvWHG3JNen3n6uIzP99LCxW7YICYff9tTNBvzoxA4UX6VR+XPGVpA==" saltValue="pOaczcMXO3NsEC/Wvx3GrA==" spinCount="100000" sheet="1" objects="1" scenarios="1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BS45"/>
  <sheetViews>
    <sheetView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71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2" t="s">
        <v>184</v>
      </c>
      <c r="BP1" s="2" t="s">
        <v>185</v>
      </c>
      <c r="BQ1" s="4" t="s">
        <v>186</v>
      </c>
      <c r="BR1" s="4" t="s">
        <v>187</v>
      </c>
      <c r="BS1" s="2" t="s">
        <v>188</v>
      </c>
    </row>
    <row r="2" spans="1:71" x14ac:dyDescent="0.15">
      <c r="A2" s="33">
        <v>90</v>
      </c>
      <c r="B2" s="28">
        <v>41554</v>
      </c>
      <c r="C2" s="27" t="s">
        <v>315</v>
      </c>
      <c r="D2" s="24" t="s">
        <v>316</v>
      </c>
      <c r="E2" s="24"/>
      <c r="F2" s="24" t="s">
        <v>317</v>
      </c>
      <c r="G2" s="28">
        <v>41457</v>
      </c>
      <c r="H2" s="29" t="s">
        <v>318</v>
      </c>
      <c r="I2" s="29" t="s">
        <v>319</v>
      </c>
      <c r="J2" s="29"/>
      <c r="K2" s="24" t="s">
        <v>320</v>
      </c>
      <c r="L2" s="24" t="s">
        <v>321</v>
      </c>
      <c r="M2" s="24">
        <v>91</v>
      </c>
      <c r="N2" s="24">
        <v>43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322</v>
      </c>
      <c r="AS2" s="29" t="s">
        <v>174</v>
      </c>
      <c r="AT2" s="29"/>
      <c r="AU2" s="29"/>
      <c r="AV2" s="29"/>
      <c r="AW2" s="29"/>
      <c r="AX2" s="29" t="s">
        <v>323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324</v>
      </c>
      <c r="BL2" s="29">
        <v>24</v>
      </c>
      <c r="BM2" s="29" t="s">
        <v>318</v>
      </c>
      <c r="BN2" s="29"/>
      <c r="BO2" s="30"/>
      <c r="BP2" s="30"/>
      <c r="BQ2" s="29"/>
      <c r="BR2" s="29" t="s">
        <v>318</v>
      </c>
      <c r="BS2" s="24"/>
    </row>
    <row r="3" spans="1:71" x14ac:dyDescent="0.15">
      <c r="A3" s="33">
        <v>2589</v>
      </c>
      <c r="B3" s="28">
        <v>41554</v>
      </c>
      <c r="C3" s="27" t="s">
        <v>315</v>
      </c>
      <c r="D3" s="24" t="s">
        <v>316</v>
      </c>
      <c r="E3" s="24"/>
      <c r="F3" s="24" t="s">
        <v>325</v>
      </c>
      <c r="G3" s="31">
        <v>41477</v>
      </c>
      <c r="H3" s="29" t="s">
        <v>318</v>
      </c>
      <c r="I3" s="29" t="s">
        <v>319</v>
      </c>
      <c r="J3" s="29"/>
      <c r="K3" s="24" t="s">
        <v>326</v>
      </c>
      <c r="L3" s="24" t="s">
        <v>327</v>
      </c>
      <c r="M3" s="24">
        <v>98.22</v>
      </c>
      <c r="N3" s="24">
        <v>44.33</v>
      </c>
      <c r="O3" s="24" t="s">
        <v>328</v>
      </c>
      <c r="P3" s="25">
        <v>2500</v>
      </c>
      <c r="Q3" s="24">
        <v>44.89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322</v>
      </c>
      <c r="AS3" s="29" t="s">
        <v>318</v>
      </c>
      <c r="AT3" s="29"/>
      <c r="AU3" s="29"/>
      <c r="AV3" s="29"/>
      <c r="AW3" s="29"/>
      <c r="AX3" s="29" t="s">
        <v>318</v>
      </c>
      <c r="AY3" s="24"/>
      <c r="AZ3" s="29">
        <v>0</v>
      </c>
      <c r="BA3" s="29">
        <v>0</v>
      </c>
      <c r="BB3" s="29">
        <v>0</v>
      </c>
      <c r="BC3" s="29">
        <v>28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318</v>
      </c>
      <c r="BL3" s="29">
        <v>24</v>
      </c>
      <c r="BM3" s="29" t="s">
        <v>318</v>
      </c>
      <c r="BN3" s="29"/>
      <c r="BO3" s="24"/>
      <c r="BP3" s="24"/>
      <c r="BQ3" s="29"/>
      <c r="BR3" s="29" t="s">
        <v>318</v>
      </c>
      <c r="BS3" s="24"/>
    </row>
    <row r="4" spans="1:71" x14ac:dyDescent="0.15">
      <c r="A4" s="33">
        <v>202</v>
      </c>
      <c r="B4" s="28">
        <v>41554</v>
      </c>
      <c r="C4" s="27" t="s">
        <v>329</v>
      </c>
      <c r="D4" s="24" t="s">
        <v>316</v>
      </c>
      <c r="E4" s="24"/>
      <c r="F4" s="24" t="s">
        <v>325</v>
      </c>
      <c r="G4" s="28">
        <v>41455</v>
      </c>
      <c r="H4" s="29" t="s">
        <v>318</v>
      </c>
      <c r="I4" s="29" t="s">
        <v>330</v>
      </c>
      <c r="J4" s="29"/>
      <c r="K4" s="24" t="s">
        <v>331</v>
      </c>
      <c r="L4" s="24" t="s">
        <v>332</v>
      </c>
      <c r="M4" s="24">
        <v>79.2</v>
      </c>
      <c r="N4" s="24">
        <v>44.16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322</v>
      </c>
      <c r="AS4" s="29" t="s">
        <v>318</v>
      </c>
      <c r="AT4" s="29"/>
      <c r="AU4" s="29"/>
      <c r="AV4" s="29"/>
      <c r="AW4" s="29"/>
      <c r="AX4" s="29" t="s">
        <v>318</v>
      </c>
      <c r="AY4" s="24"/>
      <c r="AZ4" s="29">
        <v>0</v>
      </c>
      <c r="BA4" s="29">
        <v>0</v>
      </c>
      <c r="BB4" s="29">
        <v>7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318</v>
      </c>
      <c r="BL4" s="29"/>
      <c r="BM4" s="29" t="s">
        <v>318</v>
      </c>
      <c r="BN4" s="29"/>
      <c r="BO4" s="30"/>
      <c r="BP4" s="30"/>
      <c r="BQ4" s="29"/>
      <c r="BR4" s="29" t="s">
        <v>318</v>
      </c>
      <c r="BS4" s="24" t="s">
        <v>333</v>
      </c>
    </row>
    <row r="5" spans="1:71" x14ac:dyDescent="0.15">
      <c r="A5" s="33">
        <v>242</v>
      </c>
      <c r="B5" s="28">
        <v>41554</v>
      </c>
      <c r="C5" s="27" t="s">
        <v>315</v>
      </c>
      <c r="D5" s="24" t="s">
        <v>316</v>
      </c>
      <c r="E5" s="24"/>
      <c r="F5" s="24" t="s">
        <v>325</v>
      </c>
      <c r="G5" s="28">
        <v>41495</v>
      </c>
      <c r="H5" s="29" t="s">
        <v>334</v>
      </c>
      <c r="I5" s="29" t="s">
        <v>318</v>
      </c>
      <c r="J5" s="29"/>
      <c r="K5" s="24" t="s">
        <v>335</v>
      </c>
      <c r="L5" s="24" t="s">
        <v>336</v>
      </c>
      <c r="M5" s="24">
        <v>89.5</v>
      </c>
      <c r="N5" s="24">
        <v>43.95</v>
      </c>
      <c r="O5" s="24"/>
      <c r="P5" s="25"/>
      <c r="Q5" s="24"/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337</v>
      </c>
      <c r="AS5" s="29" t="s">
        <v>324</v>
      </c>
      <c r="AT5" s="29"/>
      <c r="AU5" s="29"/>
      <c r="AV5" s="29" t="s">
        <v>338</v>
      </c>
      <c r="AW5" s="29">
        <v>11.6</v>
      </c>
      <c r="AX5" s="29" t="s">
        <v>324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324</v>
      </c>
      <c r="BL5" s="29"/>
      <c r="BM5" s="29" t="s">
        <v>318</v>
      </c>
      <c r="BN5" s="29"/>
      <c r="BO5" s="30" t="s">
        <v>339</v>
      </c>
      <c r="BP5" s="24"/>
      <c r="BQ5" s="29"/>
      <c r="BR5" s="29" t="s">
        <v>318</v>
      </c>
      <c r="BS5" s="24"/>
    </row>
    <row r="6" spans="1:71" x14ac:dyDescent="0.15">
      <c r="A6" s="33">
        <v>396</v>
      </c>
      <c r="B6" s="28">
        <v>41554</v>
      </c>
      <c r="C6" s="27" t="s">
        <v>315</v>
      </c>
      <c r="D6" s="24" t="s">
        <v>316</v>
      </c>
      <c r="E6" s="24"/>
      <c r="F6" s="24" t="s">
        <v>325</v>
      </c>
      <c r="G6" s="28">
        <v>41455</v>
      </c>
      <c r="H6" s="29" t="s">
        <v>334</v>
      </c>
      <c r="I6" s="29" t="s">
        <v>340</v>
      </c>
      <c r="J6" s="29"/>
      <c r="K6" s="24" t="s">
        <v>341</v>
      </c>
      <c r="L6" s="24" t="s">
        <v>342</v>
      </c>
      <c r="M6" s="24">
        <v>99.5</v>
      </c>
      <c r="N6" s="24">
        <v>38.9</v>
      </c>
      <c r="O6" s="24" t="s">
        <v>343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337</v>
      </c>
      <c r="AS6" s="29" t="s">
        <v>318</v>
      </c>
      <c r="AT6" s="29"/>
      <c r="AU6" s="29"/>
      <c r="AV6" s="29" t="s">
        <v>344</v>
      </c>
      <c r="AW6" s="29">
        <v>12</v>
      </c>
      <c r="AX6" s="29" t="s">
        <v>345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346</v>
      </c>
      <c r="BL6" s="29"/>
      <c r="BM6" s="29" t="s">
        <v>318</v>
      </c>
      <c r="BN6" s="29"/>
      <c r="BO6" s="24"/>
      <c r="BP6" s="24"/>
      <c r="BQ6" s="29"/>
      <c r="BR6" s="29" t="s">
        <v>318</v>
      </c>
      <c r="BS6" s="24" t="s">
        <v>347</v>
      </c>
    </row>
    <row r="7" spans="1:71" x14ac:dyDescent="0.15">
      <c r="A7" s="33">
        <v>574</v>
      </c>
      <c r="B7" s="28">
        <v>41554</v>
      </c>
      <c r="C7" s="27" t="s">
        <v>315</v>
      </c>
      <c r="D7" s="24" t="s">
        <v>348</v>
      </c>
      <c r="E7" s="24"/>
      <c r="F7" s="24" t="s">
        <v>325</v>
      </c>
      <c r="G7" s="28">
        <v>41509</v>
      </c>
      <c r="H7" s="29" t="s">
        <v>346</v>
      </c>
      <c r="I7" s="29" t="s">
        <v>318</v>
      </c>
      <c r="J7" s="29"/>
      <c r="K7" s="24" t="s">
        <v>349</v>
      </c>
      <c r="L7" s="24" t="s">
        <v>350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351</v>
      </c>
      <c r="AS7" s="29" t="s">
        <v>318</v>
      </c>
      <c r="AT7" s="29"/>
      <c r="AU7" s="29"/>
      <c r="AV7" s="29" t="s">
        <v>352</v>
      </c>
      <c r="AW7" s="29">
        <v>15</v>
      </c>
      <c r="AX7" s="29" t="s">
        <v>353</v>
      </c>
      <c r="AY7" s="24"/>
      <c r="AZ7" s="29">
        <v>0</v>
      </c>
      <c r="BA7" s="29">
        <v>16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334</v>
      </c>
      <c r="BL7" s="29"/>
      <c r="BM7" s="29" t="s">
        <v>318</v>
      </c>
      <c r="BN7" s="29"/>
      <c r="BO7" s="24"/>
      <c r="BP7" s="24"/>
      <c r="BQ7" s="29"/>
      <c r="BR7" s="29" t="s">
        <v>318</v>
      </c>
      <c r="BS7" s="24"/>
    </row>
    <row r="8" spans="1:71" x14ac:dyDescent="0.15">
      <c r="A8" s="33">
        <v>703</v>
      </c>
      <c r="B8" s="28">
        <v>41554</v>
      </c>
      <c r="C8" s="27" t="s">
        <v>315</v>
      </c>
      <c r="D8" s="24" t="s">
        <v>316</v>
      </c>
      <c r="E8" s="24"/>
      <c r="F8" s="24" t="s">
        <v>354</v>
      </c>
      <c r="G8" s="28">
        <v>41429</v>
      </c>
      <c r="H8" s="29" t="s">
        <v>346</v>
      </c>
      <c r="I8" s="29" t="s">
        <v>318</v>
      </c>
      <c r="J8" s="29"/>
      <c r="K8" s="24" t="s">
        <v>355</v>
      </c>
      <c r="L8" s="24" t="s">
        <v>356</v>
      </c>
      <c r="M8" s="24">
        <v>110</v>
      </c>
      <c r="N8" s="24">
        <v>43.52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 t="s">
        <v>322</v>
      </c>
      <c r="AS8" s="29" t="s">
        <v>318</v>
      </c>
      <c r="AT8" s="29"/>
      <c r="AU8" s="29"/>
      <c r="AV8" s="29" t="s">
        <v>352</v>
      </c>
      <c r="AW8" s="29">
        <v>6.8</v>
      </c>
      <c r="AX8" s="29" t="s">
        <v>318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318</v>
      </c>
      <c r="BL8" s="29"/>
      <c r="BM8" s="29" t="s">
        <v>318</v>
      </c>
      <c r="BN8" s="29"/>
      <c r="BO8" s="30"/>
      <c r="BP8" s="30"/>
      <c r="BQ8" s="29"/>
      <c r="BR8" s="29" t="s">
        <v>318</v>
      </c>
      <c r="BS8" s="24"/>
    </row>
    <row r="9" spans="1:71" x14ac:dyDescent="0.15">
      <c r="A9" s="33">
        <v>3065</v>
      </c>
      <c r="B9" s="28">
        <v>41554</v>
      </c>
      <c r="C9" s="27" t="s">
        <v>315</v>
      </c>
      <c r="D9" s="24" t="s">
        <v>316</v>
      </c>
      <c r="E9" s="24"/>
      <c r="F9" s="24" t="s">
        <v>357</v>
      </c>
      <c r="G9" s="28">
        <v>41468</v>
      </c>
      <c r="H9" s="29" t="s">
        <v>358</v>
      </c>
      <c r="I9" s="29" t="s">
        <v>318</v>
      </c>
      <c r="J9" s="29"/>
      <c r="K9" s="24" t="s">
        <v>302</v>
      </c>
      <c r="L9" s="24" t="s">
        <v>359</v>
      </c>
      <c r="M9" s="24">
        <v>86.36</v>
      </c>
      <c r="N9" s="24">
        <v>33.299999999999997</v>
      </c>
      <c r="O9" s="24" t="s">
        <v>328</v>
      </c>
      <c r="P9" s="25">
        <v>2500</v>
      </c>
      <c r="Q9" s="24">
        <v>35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337</v>
      </c>
      <c r="AS9" s="29" t="s">
        <v>318</v>
      </c>
      <c r="AT9" s="29"/>
      <c r="AU9" s="29"/>
      <c r="AV9" s="29" t="s">
        <v>360</v>
      </c>
      <c r="AW9" s="29">
        <v>16</v>
      </c>
      <c r="AX9" s="29" t="s">
        <v>361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36</v>
      </c>
      <c r="BK9" s="29" t="s">
        <v>318</v>
      </c>
      <c r="BL9" s="29"/>
      <c r="BM9" s="29" t="s">
        <v>318</v>
      </c>
      <c r="BN9" s="29"/>
      <c r="BO9" s="24"/>
      <c r="BP9" s="24"/>
      <c r="BQ9" s="29"/>
      <c r="BR9" s="29" t="s">
        <v>318</v>
      </c>
      <c r="BS9" s="24"/>
    </row>
    <row r="10" spans="1:71" x14ac:dyDescent="0.15">
      <c r="A10" s="33">
        <v>923</v>
      </c>
      <c r="B10" s="28">
        <v>41554</v>
      </c>
      <c r="C10" s="27" t="s">
        <v>315</v>
      </c>
      <c r="D10" s="24" t="s">
        <v>316</v>
      </c>
      <c r="E10" s="24"/>
      <c r="F10" s="24" t="s">
        <v>357</v>
      </c>
      <c r="G10" s="28">
        <v>41517</v>
      </c>
      <c r="H10" s="29" t="s">
        <v>358</v>
      </c>
      <c r="I10" s="29" t="s">
        <v>318</v>
      </c>
      <c r="J10" s="29"/>
      <c r="K10" s="24" t="s">
        <v>362</v>
      </c>
      <c r="L10" s="24" t="s">
        <v>363</v>
      </c>
      <c r="M10" s="24">
        <v>90.55</v>
      </c>
      <c r="N10" s="24">
        <v>42.79</v>
      </c>
      <c r="O10" s="24" t="s">
        <v>328</v>
      </c>
      <c r="P10" s="25">
        <v>1200</v>
      </c>
      <c r="Q10" s="24">
        <v>41.93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337</v>
      </c>
      <c r="AS10" s="29" t="s">
        <v>318</v>
      </c>
      <c r="AT10" s="29"/>
      <c r="AU10" s="29"/>
      <c r="AV10" s="29" t="s">
        <v>360</v>
      </c>
      <c r="AW10" s="29">
        <v>6.8</v>
      </c>
      <c r="AX10" s="29" t="s">
        <v>318</v>
      </c>
      <c r="AY10" s="24"/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334</v>
      </c>
      <c r="BL10" s="29"/>
      <c r="BM10" s="29" t="s">
        <v>318</v>
      </c>
      <c r="BN10" s="29"/>
      <c r="BO10" s="24"/>
      <c r="BP10" s="24"/>
      <c r="BQ10" s="29"/>
      <c r="BR10" s="29" t="s">
        <v>318</v>
      </c>
      <c r="BS10" s="24" t="s">
        <v>364</v>
      </c>
    </row>
    <row r="11" spans="1:71" x14ac:dyDescent="0.15">
      <c r="A11" s="33">
        <v>1150</v>
      </c>
      <c r="B11" s="28">
        <v>41554</v>
      </c>
      <c r="C11" s="27" t="s">
        <v>315</v>
      </c>
      <c r="D11" s="24" t="s">
        <v>316</v>
      </c>
      <c r="E11" s="24"/>
      <c r="F11" s="24" t="s">
        <v>354</v>
      </c>
      <c r="G11" s="28">
        <v>41549</v>
      </c>
      <c r="H11" s="29" t="s">
        <v>365</v>
      </c>
      <c r="I11" s="29" t="s">
        <v>318</v>
      </c>
      <c r="J11" s="29"/>
      <c r="K11" s="24" t="s">
        <v>366</v>
      </c>
      <c r="L11" s="24" t="s">
        <v>367</v>
      </c>
      <c r="M11" s="24">
        <v>90.95</v>
      </c>
      <c r="N11" s="24">
        <v>40.33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 t="s">
        <v>337</v>
      </c>
      <c r="AS11" s="29" t="s">
        <v>318</v>
      </c>
      <c r="AT11" s="29"/>
      <c r="AU11" s="29"/>
      <c r="AV11" s="29" t="s">
        <v>352</v>
      </c>
      <c r="AW11" s="29">
        <v>11</v>
      </c>
      <c r="AX11" s="29" t="s">
        <v>353</v>
      </c>
      <c r="AY11" s="24"/>
      <c r="AZ11" s="29">
        <v>0</v>
      </c>
      <c r="BA11" s="29">
        <v>16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12</v>
      </c>
      <c r="BK11" s="29" t="s">
        <v>368</v>
      </c>
      <c r="BL11" s="29"/>
      <c r="BM11" s="29" t="s">
        <v>318</v>
      </c>
      <c r="BN11" s="29"/>
      <c r="BO11" s="24"/>
      <c r="BP11" s="24"/>
      <c r="BQ11" s="29"/>
      <c r="BR11" s="29" t="s">
        <v>318</v>
      </c>
      <c r="BS11" s="30" t="s">
        <v>369</v>
      </c>
    </row>
    <row r="12" spans="1:71" x14ac:dyDescent="0.15">
      <c r="A12" s="33">
        <v>1324</v>
      </c>
      <c r="B12" s="28">
        <v>41554</v>
      </c>
      <c r="C12" s="27" t="s">
        <v>315</v>
      </c>
      <c r="D12" s="24" t="s">
        <v>316</v>
      </c>
      <c r="E12" s="24"/>
      <c r="F12" s="24" t="s">
        <v>325</v>
      </c>
      <c r="G12" s="28">
        <v>41503</v>
      </c>
      <c r="H12" s="29" t="s">
        <v>346</v>
      </c>
      <c r="I12" s="29" t="s">
        <v>318</v>
      </c>
      <c r="J12" s="29"/>
      <c r="K12" s="24" t="s">
        <v>370</v>
      </c>
      <c r="L12" s="24" t="s">
        <v>371</v>
      </c>
      <c r="M12" s="24">
        <v>91</v>
      </c>
      <c r="N12" s="24">
        <v>36.119999999999997</v>
      </c>
      <c r="O12" s="24"/>
      <c r="P12" s="25"/>
      <c r="Q12" s="24"/>
      <c r="R12" s="25"/>
      <c r="S12" s="24"/>
      <c r="T12" s="25"/>
      <c r="U12" s="24"/>
      <c r="V12" s="24"/>
      <c r="W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 t="s">
        <v>337</v>
      </c>
      <c r="AS12" s="29" t="s">
        <v>318</v>
      </c>
      <c r="AT12" s="29"/>
      <c r="AU12" s="29"/>
      <c r="AV12" s="29" t="s">
        <v>352</v>
      </c>
      <c r="AW12" s="29">
        <v>16.3</v>
      </c>
      <c r="AX12" s="29" t="s">
        <v>353</v>
      </c>
      <c r="AY12" s="24"/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318</v>
      </c>
      <c r="BL12" s="29">
        <v>24</v>
      </c>
      <c r="BM12" s="29" t="s">
        <v>318</v>
      </c>
      <c r="BN12" s="29"/>
      <c r="BO12" s="30"/>
      <c r="BP12" s="30"/>
      <c r="BQ12" s="29"/>
      <c r="BR12" s="29" t="s">
        <v>372</v>
      </c>
      <c r="BS12" s="24" t="s">
        <v>373</v>
      </c>
    </row>
    <row r="13" spans="1:71" x14ac:dyDescent="0.15">
      <c r="A13" s="33">
        <v>1480</v>
      </c>
      <c r="B13" s="28">
        <v>41554</v>
      </c>
      <c r="C13" s="27" t="s">
        <v>315</v>
      </c>
      <c r="D13" s="24" t="s">
        <v>316</v>
      </c>
      <c r="E13" s="24"/>
      <c r="F13" s="24" t="s">
        <v>357</v>
      </c>
      <c r="G13" s="31">
        <v>41479</v>
      </c>
      <c r="H13" s="29" t="s">
        <v>346</v>
      </c>
      <c r="I13" s="29" t="s">
        <v>374</v>
      </c>
      <c r="J13" s="29"/>
      <c r="K13" s="24" t="s">
        <v>375</v>
      </c>
      <c r="L13" s="24" t="s">
        <v>376</v>
      </c>
      <c r="M13" s="24">
        <v>102.5</v>
      </c>
      <c r="N13" s="24">
        <v>40.799999999999997</v>
      </c>
      <c r="O13" s="24" t="s">
        <v>328</v>
      </c>
      <c r="P13" s="25">
        <v>2500</v>
      </c>
      <c r="Q13" s="24">
        <v>42.83</v>
      </c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322</v>
      </c>
      <c r="AS13" s="29" t="s">
        <v>318</v>
      </c>
      <c r="AT13" s="29"/>
      <c r="AU13" s="29"/>
      <c r="AV13" s="29" t="s">
        <v>352</v>
      </c>
      <c r="AW13" s="29">
        <v>16</v>
      </c>
      <c r="AX13" s="29" t="s">
        <v>323</v>
      </c>
      <c r="AY13" s="24"/>
      <c r="AZ13" s="29">
        <v>0</v>
      </c>
      <c r="BA13" s="29">
        <v>0</v>
      </c>
      <c r="BB13" s="29">
        <v>10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/>
      <c r="BK13" s="29" t="s">
        <v>318</v>
      </c>
      <c r="BL13" s="29"/>
      <c r="BM13" s="29" t="s">
        <v>318</v>
      </c>
      <c r="BN13" s="29"/>
      <c r="BO13" s="24"/>
      <c r="BP13" s="24"/>
      <c r="BQ13" s="29"/>
      <c r="BR13" s="29" t="s">
        <v>318</v>
      </c>
      <c r="BS13" s="24"/>
    </row>
    <row r="14" spans="1:71" x14ac:dyDescent="0.15">
      <c r="A14" s="33">
        <v>2355</v>
      </c>
      <c r="B14" s="28">
        <v>41554</v>
      </c>
      <c r="C14" s="27" t="s">
        <v>377</v>
      </c>
      <c r="D14" s="24" t="s">
        <v>378</v>
      </c>
      <c r="E14" s="24"/>
      <c r="F14" s="24" t="s">
        <v>379</v>
      </c>
      <c r="G14" s="31">
        <v>41515</v>
      </c>
      <c r="H14" s="29" t="s">
        <v>175</v>
      </c>
      <c r="I14" s="29" t="s">
        <v>174</v>
      </c>
      <c r="J14" s="29"/>
      <c r="K14" s="24" t="s">
        <v>307</v>
      </c>
      <c r="L14" s="24" t="s">
        <v>380</v>
      </c>
      <c r="M14" s="24">
        <v>99.59</v>
      </c>
      <c r="N14" s="24">
        <v>40.869999999999997</v>
      </c>
      <c r="O14" s="24"/>
      <c r="P14" s="25"/>
      <c r="Q14" s="24"/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381</v>
      </c>
      <c r="AS14" s="29" t="s">
        <v>174</v>
      </c>
      <c r="AT14" s="29"/>
      <c r="AU14" s="29"/>
      <c r="AV14" s="29" t="s">
        <v>382</v>
      </c>
      <c r="AW14" s="29">
        <v>17</v>
      </c>
      <c r="AX14" s="29" t="s">
        <v>383</v>
      </c>
      <c r="AY14" s="24"/>
      <c r="AZ14" s="29">
        <v>0</v>
      </c>
      <c r="BA14" s="29">
        <v>15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24</v>
      </c>
      <c r="BK14" s="29" t="s">
        <v>346</v>
      </c>
      <c r="BL14" s="29"/>
      <c r="BM14" s="29" t="s">
        <v>318</v>
      </c>
      <c r="BN14" s="29"/>
      <c r="BO14" s="30" t="s">
        <v>384</v>
      </c>
      <c r="BP14" s="30" t="s">
        <v>385</v>
      </c>
      <c r="BQ14" s="29">
        <v>50</v>
      </c>
      <c r="BR14" s="29" t="s">
        <v>318</v>
      </c>
      <c r="BS14" s="24"/>
    </row>
    <row r="15" spans="1:71" x14ac:dyDescent="0.15">
      <c r="A15" s="33">
        <v>1926</v>
      </c>
      <c r="B15" s="28">
        <v>41554</v>
      </c>
      <c r="C15" s="27" t="s">
        <v>315</v>
      </c>
      <c r="D15" s="24" t="s">
        <v>316</v>
      </c>
      <c r="E15" s="24"/>
      <c r="F15" s="24" t="s">
        <v>325</v>
      </c>
      <c r="G15" s="31">
        <v>41486</v>
      </c>
      <c r="H15" s="29" t="s">
        <v>386</v>
      </c>
      <c r="I15" s="29" t="s">
        <v>319</v>
      </c>
      <c r="J15" s="29"/>
      <c r="K15" s="24" t="s">
        <v>387</v>
      </c>
      <c r="L15" s="24" t="s">
        <v>336</v>
      </c>
      <c r="M15" s="24">
        <v>100</v>
      </c>
      <c r="N15" s="24">
        <v>42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t="s">
        <v>337</v>
      </c>
      <c r="AS15" s="29" t="s">
        <v>318</v>
      </c>
      <c r="AT15" s="29"/>
      <c r="AU15" s="29"/>
      <c r="AV15" s="29"/>
      <c r="AW15" s="29"/>
      <c r="AX15" s="29" t="s">
        <v>318</v>
      </c>
      <c r="AY15" s="24"/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/>
      <c r="BK15" s="29" t="s">
        <v>318</v>
      </c>
      <c r="BL15" s="29"/>
      <c r="BM15" s="29" t="s">
        <v>318</v>
      </c>
      <c r="BN15" s="29"/>
      <c r="BO15" s="30"/>
      <c r="BP15" s="30"/>
      <c r="BQ15" s="29"/>
      <c r="BR15" s="29" t="s">
        <v>318</v>
      </c>
      <c r="BS15" s="24" t="s">
        <v>388</v>
      </c>
    </row>
    <row r="16" spans="1:71" x14ac:dyDescent="0.15">
      <c r="A16" s="33">
        <v>2953</v>
      </c>
      <c r="B16" s="28">
        <v>41554</v>
      </c>
      <c r="C16" s="27" t="s">
        <v>315</v>
      </c>
      <c r="D16" s="24" t="s">
        <v>389</v>
      </c>
      <c r="E16" s="24"/>
      <c r="F16" s="24" t="s">
        <v>325</v>
      </c>
      <c r="G16" s="28">
        <v>41545</v>
      </c>
      <c r="H16" s="29" t="s">
        <v>390</v>
      </c>
      <c r="I16" s="29" t="s">
        <v>319</v>
      </c>
      <c r="J16" s="29"/>
      <c r="K16" s="24" t="s">
        <v>391</v>
      </c>
      <c r="L16" s="24" t="s">
        <v>392</v>
      </c>
      <c r="M16" s="24">
        <v>90</v>
      </c>
      <c r="N16" s="24">
        <v>32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322</v>
      </c>
      <c r="AS16" s="29" t="s">
        <v>318</v>
      </c>
      <c r="AT16" s="29"/>
      <c r="AU16" s="29"/>
      <c r="AV16" s="29"/>
      <c r="AW16" s="29"/>
      <c r="AX16" s="29" t="s">
        <v>353</v>
      </c>
      <c r="AY16" s="24"/>
      <c r="AZ16" s="29">
        <v>0</v>
      </c>
      <c r="BA16" s="29">
        <v>0</v>
      </c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24</v>
      </c>
      <c r="BK16" s="29" t="s">
        <v>346</v>
      </c>
      <c r="BL16" s="29"/>
      <c r="BM16" s="29" t="s">
        <v>318</v>
      </c>
      <c r="BN16" s="29"/>
      <c r="BO16" s="30"/>
      <c r="BP16" s="30"/>
      <c r="BQ16" s="30"/>
      <c r="BR16" s="29" t="s">
        <v>318</v>
      </c>
      <c r="BS16" s="24"/>
    </row>
    <row r="17" spans="1:71" x14ac:dyDescent="0.15">
      <c r="A17" s="33">
        <v>89</v>
      </c>
      <c r="B17" s="28">
        <v>41554</v>
      </c>
      <c r="C17" s="27" t="s">
        <v>315</v>
      </c>
      <c r="D17" s="24" t="s">
        <v>393</v>
      </c>
      <c r="E17" s="24"/>
      <c r="F17" s="24" t="s">
        <v>394</v>
      </c>
      <c r="G17" s="28">
        <v>41457</v>
      </c>
      <c r="H17" s="29" t="s">
        <v>318</v>
      </c>
      <c r="I17" s="29" t="s">
        <v>319</v>
      </c>
      <c r="J17" s="29"/>
      <c r="K17" s="24" t="s">
        <v>395</v>
      </c>
      <c r="L17" s="24" t="s">
        <v>321</v>
      </c>
      <c r="M17" s="24">
        <v>91</v>
      </c>
      <c r="N17" s="24">
        <v>43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5"/>
      <c r="AC17" s="24"/>
      <c r="AD17" s="24"/>
      <c r="AE17" s="24"/>
      <c r="AF17" s="24">
        <v>22</v>
      </c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396</v>
      </c>
      <c r="AS17" s="29" t="s">
        <v>174</v>
      </c>
      <c r="AT17" s="29"/>
      <c r="AU17" s="29"/>
      <c r="AV17" s="29"/>
      <c r="AW17" s="29"/>
      <c r="AX17" s="29" t="s">
        <v>323</v>
      </c>
      <c r="AY17" s="24"/>
      <c r="AZ17" s="29">
        <v>0</v>
      </c>
      <c r="BA17" s="29">
        <v>16</v>
      </c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/>
      <c r="BK17" s="29" t="s">
        <v>324</v>
      </c>
      <c r="BL17" s="29">
        <v>24</v>
      </c>
      <c r="BM17" s="29" t="s">
        <v>318</v>
      </c>
      <c r="BN17" s="29"/>
      <c r="BO17" s="30"/>
      <c r="BP17" s="30"/>
      <c r="BQ17" s="29"/>
      <c r="BR17" s="29" t="s">
        <v>318</v>
      </c>
      <c r="BS17" s="24"/>
    </row>
    <row r="18" spans="1:71" x14ac:dyDescent="0.15">
      <c r="A18" s="33">
        <v>2588</v>
      </c>
      <c r="B18" s="28">
        <v>41554</v>
      </c>
      <c r="C18" s="27" t="s">
        <v>315</v>
      </c>
      <c r="D18" s="24" t="s">
        <v>316</v>
      </c>
      <c r="E18" s="24"/>
      <c r="F18" s="24" t="s">
        <v>397</v>
      </c>
      <c r="G18" s="31">
        <v>41477</v>
      </c>
      <c r="H18" s="29" t="s">
        <v>318</v>
      </c>
      <c r="I18" s="29" t="s">
        <v>319</v>
      </c>
      <c r="J18" s="29"/>
      <c r="K18" s="24" t="s">
        <v>326</v>
      </c>
      <c r="L18" s="24" t="s">
        <v>327</v>
      </c>
      <c r="M18" s="24">
        <v>98.22</v>
      </c>
      <c r="N18" s="24">
        <v>44.33</v>
      </c>
      <c r="O18" s="24" t="s">
        <v>328</v>
      </c>
      <c r="P18" s="25">
        <v>2500</v>
      </c>
      <c r="Q18" s="24">
        <v>44.89</v>
      </c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>
        <v>20.55</v>
      </c>
      <c r="AG18" s="25">
        <v>2000</v>
      </c>
      <c r="AH18" s="24">
        <v>22.11</v>
      </c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398</v>
      </c>
      <c r="AS18" s="29" t="s">
        <v>318</v>
      </c>
      <c r="AT18" s="29"/>
      <c r="AU18" s="29"/>
      <c r="AV18" s="29"/>
      <c r="AW18" s="29"/>
      <c r="AX18" s="29" t="s">
        <v>318</v>
      </c>
      <c r="AY18" s="24"/>
      <c r="AZ18" s="29">
        <v>0</v>
      </c>
      <c r="BA18" s="29">
        <v>0</v>
      </c>
      <c r="BB18" s="29">
        <v>0</v>
      </c>
      <c r="BC18" s="29">
        <v>28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318</v>
      </c>
      <c r="BL18" s="29">
        <v>24</v>
      </c>
      <c r="BM18" s="29" t="s">
        <v>318</v>
      </c>
      <c r="BN18" s="29"/>
      <c r="BO18" s="24"/>
      <c r="BP18" s="24"/>
      <c r="BQ18" s="29"/>
      <c r="BR18" s="29" t="s">
        <v>318</v>
      </c>
      <c r="BS18" s="24"/>
    </row>
    <row r="19" spans="1:71" x14ac:dyDescent="0.15">
      <c r="A19" s="33">
        <v>201</v>
      </c>
      <c r="B19" s="28">
        <v>41554</v>
      </c>
      <c r="C19" s="27" t="s">
        <v>329</v>
      </c>
      <c r="D19" s="24" t="s">
        <v>316</v>
      </c>
      <c r="E19" s="24"/>
      <c r="F19" s="24" t="s">
        <v>399</v>
      </c>
      <c r="G19" s="34">
        <v>41455</v>
      </c>
      <c r="H19" s="29" t="s">
        <v>318</v>
      </c>
      <c r="I19" s="29" t="s">
        <v>330</v>
      </c>
      <c r="J19" s="29"/>
      <c r="K19" s="24" t="s">
        <v>331</v>
      </c>
      <c r="L19" s="24" t="s">
        <v>332</v>
      </c>
      <c r="M19" s="24">
        <v>79.2</v>
      </c>
      <c r="N19" s="24">
        <v>44.16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37.631999999999998</v>
      </c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400</v>
      </c>
      <c r="AS19" s="29" t="s">
        <v>318</v>
      </c>
      <c r="AT19" s="29"/>
      <c r="AU19" s="29"/>
      <c r="AV19" s="29"/>
      <c r="AW19" s="29"/>
      <c r="AX19" s="29" t="s">
        <v>318</v>
      </c>
      <c r="AY19" s="24"/>
      <c r="AZ19" s="29">
        <v>0</v>
      </c>
      <c r="BA19" s="29">
        <v>0</v>
      </c>
      <c r="BB19" s="29">
        <v>7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/>
      <c r="BK19" s="29" t="s">
        <v>318</v>
      </c>
      <c r="BL19" s="29"/>
      <c r="BM19" s="29" t="s">
        <v>318</v>
      </c>
      <c r="BN19" s="29"/>
      <c r="BO19" s="30"/>
      <c r="BP19" s="30"/>
      <c r="BQ19" s="29"/>
      <c r="BR19" s="29" t="s">
        <v>318</v>
      </c>
      <c r="BS19" s="24" t="s">
        <v>333</v>
      </c>
    </row>
    <row r="20" spans="1:71" x14ac:dyDescent="0.15">
      <c r="A20" s="33">
        <v>241</v>
      </c>
      <c r="B20" s="28">
        <v>41554</v>
      </c>
      <c r="C20" s="27" t="s">
        <v>315</v>
      </c>
      <c r="D20" s="24" t="s">
        <v>316</v>
      </c>
      <c r="E20" s="24"/>
      <c r="F20" s="24" t="s">
        <v>401</v>
      </c>
      <c r="G20" s="34">
        <v>41495</v>
      </c>
      <c r="H20" s="29" t="s">
        <v>334</v>
      </c>
      <c r="I20" s="29" t="s">
        <v>318</v>
      </c>
      <c r="J20" s="29"/>
      <c r="K20" s="24" t="s">
        <v>335</v>
      </c>
      <c r="L20" s="24" t="s">
        <v>336</v>
      </c>
      <c r="M20" s="24">
        <v>89.5</v>
      </c>
      <c r="N20" s="24">
        <v>43.95</v>
      </c>
      <c r="O20" s="24"/>
      <c r="P20" s="25"/>
      <c r="Q20" s="24"/>
      <c r="R20" s="25"/>
      <c r="S20" s="24"/>
      <c r="T20" s="25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23.7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400</v>
      </c>
      <c r="AS20" s="29" t="s">
        <v>324</v>
      </c>
      <c r="AT20" s="29"/>
      <c r="AU20" s="29"/>
      <c r="AV20" s="29" t="s">
        <v>338</v>
      </c>
      <c r="AW20" s="29">
        <v>11.6</v>
      </c>
      <c r="AX20" s="29" t="s">
        <v>324</v>
      </c>
      <c r="AY20" s="24"/>
      <c r="AZ20" s="29">
        <v>0</v>
      </c>
      <c r="BA20" s="29">
        <v>0</v>
      </c>
      <c r="BB20" s="29">
        <v>0</v>
      </c>
      <c r="BC20" s="29">
        <v>20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/>
      <c r="BK20" s="29" t="s">
        <v>324</v>
      </c>
      <c r="BL20" s="29"/>
      <c r="BM20" s="29" t="s">
        <v>318</v>
      </c>
      <c r="BN20" s="29"/>
      <c r="BO20" s="30" t="s">
        <v>339</v>
      </c>
      <c r="BP20" s="24"/>
      <c r="BQ20" s="29"/>
      <c r="BR20" s="29" t="s">
        <v>318</v>
      </c>
      <c r="BS20" s="24"/>
    </row>
    <row r="21" spans="1:71" x14ac:dyDescent="0.15">
      <c r="A21" s="33">
        <v>395</v>
      </c>
      <c r="B21" s="28">
        <v>41554</v>
      </c>
      <c r="C21" s="27" t="s">
        <v>315</v>
      </c>
      <c r="D21" s="24" t="s">
        <v>316</v>
      </c>
      <c r="E21" s="24"/>
      <c r="F21" s="24" t="s">
        <v>401</v>
      </c>
      <c r="G21" s="34">
        <v>41455</v>
      </c>
      <c r="H21" s="29" t="s">
        <v>334</v>
      </c>
      <c r="I21" s="29" t="s">
        <v>318</v>
      </c>
      <c r="J21" s="29"/>
      <c r="K21" s="24" t="s">
        <v>341</v>
      </c>
      <c r="L21" s="24" t="s">
        <v>342</v>
      </c>
      <c r="M21" s="24">
        <v>99.5</v>
      </c>
      <c r="N21" s="24">
        <v>38.9</v>
      </c>
      <c r="O21" s="24" t="s">
        <v>343</v>
      </c>
      <c r="P21" s="25">
        <v>1000</v>
      </c>
      <c r="Q21" s="24">
        <v>39.950000000000003</v>
      </c>
      <c r="R21" s="25">
        <v>1500</v>
      </c>
      <c r="S21" s="24">
        <v>40.98</v>
      </c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19.95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400</v>
      </c>
      <c r="AS21" s="29" t="s">
        <v>318</v>
      </c>
      <c r="AT21" s="29"/>
      <c r="AU21" s="29"/>
      <c r="AV21" s="29" t="s">
        <v>344</v>
      </c>
      <c r="AW21" s="29">
        <v>12</v>
      </c>
      <c r="AX21" s="29" t="s">
        <v>345</v>
      </c>
      <c r="AY21" s="24"/>
      <c r="AZ21" s="29">
        <v>0</v>
      </c>
      <c r="BA21" s="29">
        <v>0</v>
      </c>
      <c r="BB21" s="29">
        <v>7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24</v>
      </c>
      <c r="BK21" s="29" t="s">
        <v>346</v>
      </c>
      <c r="BL21" s="29"/>
      <c r="BM21" s="29" t="s">
        <v>318</v>
      </c>
      <c r="BN21" s="29"/>
      <c r="BO21" s="24"/>
      <c r="BP21" s="24"/>
      <c r="BQ21" s="29"/>
      <c r="BR21" s="29" t="s">
        <v>318</v>
      </c>
      <c r="BS21" s="24" t="s">
        <v>347</v>
      </c>
    </row>
    <row r="22" spans="1:71" x14ac:dyDescent="0.15">
      <c r="A22" s="33">
        <v>573</v>
      </c>
      <c r="B22" s="28">
        <v>41554</v>
      </c>
      <c r="C22" s="27" t="s">
        <v>315</v>
      </c>
      <c r="D22" s="24" t="s">
        <v>316</v>
      </c>
      <c r="E22" s="24"/>
      <c r="F22" s="24" t="s">
        <v>401</v>
      </c>
      <c r="G22" s="35">
        <v>41509</v>
      </c>
      <c r="H22" s="29" t="s">
        <v>346</v>
      </c>
      <c r="I22" s="29" t="s">
        <v>318</v>
      </c>
      <c r="J22" s="29"/>
      <c r="K22" s="24" t="s">
        <v>349</v>
      </c>
      <c r="L22" s="24" t="s">
        <v>350</v>
      </c>
      <c r="M22" s="24">
        <v>89.6</v>
      </c>
      <c r="N22" s="24">
        <v>46.2</v>
      </c>
      <c r="O22" s="24"/>
      <c r="P22" s="25"/>
      <c r="Q22" s="24"/>
      <c r="R22" s="25"/>
      <c r="S22" s="24"/>
      <c r="T22" s="25"/>
      <c r="U22" s="24"/>
      <c r="V22" s="24"/>
      <c r="W22" s="24"/>
      <c r="X22" s="25"/>
      <c r="Y22" s="24"/>
      <c r="Z22" s="25"/>
      <c r="AA22" s="24"/>
      <c r="AB22" s="25"/>
      <c r="AC22" s="24"/>
      <c r="AD22" s="24"/>
      <c r="AE22" s="24"/>
      <c r="AF22" s="24">
        <v>16.91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396</v>
      </c>
      <c r="AS22" s="29" t="s">
        <v>318</v>
      </c>
      <c r="AT22" s="29"/>
      <c r="AU22" s="29"/>
      <c r="AV22" s="29" t="s">
        <v>352</v>
      </c>
      <c r="AW22" s="29">
        <v>15</v>
      </c>
      <c r="AX22" s="29" t="s">
        <v>353</v>
      </c>
      <c r="AY22" s="24"/>
      <c r="AZ22" s="29">
        <v>0</v>
      </c>
      <c r="BA22" s="29">
        <v>16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24</v>
      </c>
      <c r="BK22" s="29" t="s">
        <v>334</v>
      </c>
      <c r="BL22" s="29"/>
      <c r="BM22" s="29" t="s">
        <v>318</v>
      </c>
      <c r="BN22" s="29"/>
      <c r="BO22" s="24"/>
      <c r="BP22" s="24"/>
      <c r="BQ22" s="29"/>
      <c r="BR22" s="29" t="s">
        <v>318</v>
      </c>
      <c r="BS22" s="24"/>
    </row>
    <row r="23" spans="1:71" x14ac:dyDescent="0.15">
      <c r="A23" s="33">
        <v>702</v>
      </c>
      <c r="B23" s="28">
        <v>41554</v>
      </c>
      <c r="C23" s="27" t="s">
        <v>315</v>
      </c>
      <c r="D23" s="24" t="s">
        <v>316</v>
      </c>
      <c r="E23" s="24"/>
      <c r="F23" s="24" t="s">
        <v>394</v>
      </c>
      <c r="G23" s="35">
        <v>41429</v>
      </c>
      <c r="H23" s="29" t="s">
        <v>346</v>
      </c>
      <c r="I23" s="29" t="s">
        <v>318</v>
      </c>
      <c r="J23" s="29"/>
      <c r="K23" s="24" t="s">
        <v>355</v>
      </c>
      <c r="L23" s="24" t="s">
        <v>356</v>
      </c>
      <c r="M23" s="24">
        <v>110</v>
      </c>
      <c r="N23" s="24">
        <v>43.52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>
        <v>26.13</v>
      </c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396</v>
      </c>
      <c r="AS23" s="29" t="s">
        <v>318</v>
      </c>
      <c r="AT23" s="29"/>
      <c r="AU23" s="29"/>
      <c r="AV23" s="29" t="s">
        <v>352</v>
      </c>
      <c r="AW23" s="29">
        <v>6.8</v>
      </c>
      <c r="AX23" s="29" t="s">
        <v>318</v>
      </c>
      <c r="AY23" s="24"/>
      <c r="AZ23" s="29">
        <v>0</v>
      </c>
      <c r="BA23" s="29">
        <v>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/>
      <c r="BK23" s="29" t="s">
        <v>318</v>
      </c>
      <c r="BL23" s="29"/>
      <c r="BM23" s="29" t="s">
        <v>318</v>
      </c>
      <c r="BN23" s="29"/>
      <c r="BO23" s="30"/>
      <c r="BP23" s="30"/>
      <c r="BQ23" s="29"/>
      <c r="BR23" s="29" t="s">
        <v>318</v>
      </c>
      <c r="BS23" s="24"/>
    </row>
    <row r="24" spans="1:71" x14ac:dyDescent="0.15">
      <c r="A24" s="33">
        <v>921</v>
      </c>
      <c r="B24" s="28">
        <v>41554</v>
      </c>
      <c r="C24" s="27" t="s">
        <v>315</v>
      </c>
      <c r="D24" s="24" t="s">
        <v>316</v>
      </c>
      <c r="E24" s="24"/>
      <c r="F24" s="24" t="s">
        <v>397</v>
      </c>
      <c r="G24" s="35">
        <v>41517</v>
      </c>
      <c r="H24" s="29" t="s">
        <v>346</v>
      </c>
      <c r="I24" s="29" t="s">
        <v>318</v>
      </c>
      <c r="J24" s="29"/>
      <c r="K24" s="24" t="s">
        <v>362</v>
      </c>
      <c r="L24" s="24" t="s">
        <v>363</v>
      </c>
      <c r="M24" s="24">
        <v>90.55</v>
      </c>
      <c r="N24" s="24">
        <v>42.79</v>
      </c>
      <c r="O24" s="24" t="s">
        <v>328</v>
      </c>
      <c r="P24" s="25">
        <v>1200</v>
      </c>
      <c r="Q24" s="24">
        <v>41.93</v>
      </c>
      <c r="R24" s="25"/>
      <c r="S24" s="24"/>
      <c r="T24" s="25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21.89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400</v>
      </c>
      <c r="AS24" s="29" t="s">
        <v>318</v>
      </c>
      <c r="AT24" s="29"/>
      <c r="AU24" s="29"/>
      <c r="AV24" s="29" t="s">
        <v>360</v>
      </c>
      <c r="AW24" s="29">
        <v>6.8</v>
      </c>
      <c r="AX24" s="29" t="s">
        <v>318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12</v>
      </c>
      <c r="BK24" s="29" t="s">
        <v>334</v>
      </c>
      <c r="BL24" s="29"/>
      <c r="BM24" s="29" t="s">
        <v>318</v>
      </c>
      <c r="BN24" s="29"/>
      <c r="BO24" s="24"/>
      <c r="BP24" s="24"/>
      <c r="BQ24" s="29"/>
      <c r="BR24" s="29" t="s">
        <v>318</v>
      </c>
      <c r="BS24" s="24" t="s">
        <v>364</v>
      </c>
    </row>
    <row r="25" spans="1:71" x14ac:dyDescent="0.15">
      <c r="A25" s="33">
        <v>1149</v>
      </c>
      <c r="B25" s="28">
        <v>41554</v>
      </c>
      <c r="C25" s="27" t="s">
        <v>315</v>
      </c>
      <c r="D25" s="24" t="s">
        <v>316</v>
      </c>
      <c r="E25" s="24"/>
      <c r="F25" s="24" t="s">
        <v>397</v>
      </c>
      <c r="G25" s="28">
        <v>41549</v>
      </c>
      <c r="H25" s="29" t="s">
        <v>365</v>
      </c>
      <c r="I25" s="29" t="s">
        <v>318</v>
      </c>
      <c r="J25" s="29"/>
      <c r="K25" s="24" t="s">
        <v>366</v>
      </c>
      <c r="L25" s="24" t="s">
        <v>367</v>
      </c>
      <c r="M25" s="24">
        <v>90.95</v>
      </c>
      <c r="N25" s="24">
        <v>40.33</v>
      </c>
      <c r="O25" s="24"/>
      <c r="P25" s="24"/>
      <c r="Q25" s="24"/>
      <c r="R25" s="25"/>
      <c r="S25" s="24"/>
      <c r="T25" s="25"/>
      <c r="U25" s="24"/>
      <c r="V25" s="24"/>
      <c r="W25" s="24"/>
      <c r="X25" s="24"/>
      <c r="Y25" s="24"/>
      <c r="Z25" s="25"/>
      <c r="AA25" s="24"/>
      <c r="AB25" s="25"/>
      <c r="AC25" s="24"/>
      <c r="AD25" s="24"/>
      <c r="AE25" s="24"/>
      <c r="AF25" s="24">
        <v>19.25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 t="s">
        <v>396</v>
      </c>
      <c r="AS25" s="29" t="s">
        <v>318</v>
      </c>
      <c r="AT25" s="29"/>
      <c r="AU25" s="29"/>
      <c r="AV25" s="29" t="s">
        <v>352</v>
      </c>
      <c r="AW25" s="29">
        <v>11</v>
      </c>
      <c r="AX25" s="29" t="s">
        <v>353</v>
      </c>
      <c r="AY25" s="24"/>
      <c r="AZ25" s="29">
        <v>0</v>
      </c>
      <c r="BA25" s="29">
        <v>16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12</v>
      </c>
      <c r="BK25" s="29" t="s">
        <v>368</v>
      </c>
      <c r="BL25" s="29"/>
      <c r="BM25" s="29" t="s">
        <v>318</v>
      </c>
      <c r="BN25" s="29"/>
      <c r="BO25" s="24"/>
      <c r="BP25" s="24"/>
      <c r="BQ25" s="29"/>
      <c r="BR25" s="29" t="s">
        <v>318</v>
      </c>
      <c r="BS25" s="30" t="s">
        <v>369</v>
      </c>
    </row>
    <row r="26" spans="1:71" x14ac:dyDescent="0.15">
      <c r="A26" s="33">
        <v>1323</v>
      </c>
      <c r="B26" s="28">
        <v>41554</v>
      </c>
      <c r="C26" s="27" t="s">
        <v>315</v>
      </c>
      <c r="D26" s="24" t="s">
        <v>389</v>
      </c>
      <c r="E26" s="24"/>
      <c r="F26" s="24" t="s">
        <v>402</v>
      </c>
      <c r="G26" s="28">
        <v>41503</v>
      </c>
      <c r="H26" s="29" t="s">
        <v>346</v>
      </c>
      <c r="I26" s="29" t="s">
        <v>318</v>
      </c>
      <c r="J26" s="29"/>
      <c r="K26" s="24" t="s">
        <v>370</v>
      </c>
      <c r="L26" s="24" t="s">
        <v>371</v>
      </c>
      <c r="M26" s="24">
        <v>91</v>
      </c>
      <c r="N26" s="24">
        <v>36.119999999999997</v>
      </c>
      <c r="O26" s="24"/>
      <c r="P26" s="25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28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 t="s">
        <v>400</v>
      </c>
      <c r="AS26" s="29" t="s">
        <v>318</v>
      </c>
      <c r="AT26" s="29"/>
      <c r="AU26" s="29"/>
      <c r="AV26" s="29" t="s">
        <v>352</v>
      </c>
      <c r="AW26" s="29">
        <v>16.3</v>
      </c>
      <c r="AX26" s="29" t="s">
        <v>353</v>
      </c>
      <c r="AY26" s="24"/>
      <c r="AZ26" s="29">
        <v>0</v>
      </c>
      <c r="BA26" s="29">
        <v>0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/>
      <c r="BK26" s="29" t="s">
        <v>318</v>
      </c>
      <c r="BL26" s="29">
        <v>24</v>
      </c>
      <c r="BM26" s="29" t="s">
        <v>318</v>
      </c>
      <c r="BN26" s="29"/>
      <c r="BO26" s="30"/>
      <c r="BP26" s="30"/>
      <c r="BQ26" s="29"/>
      <c r="BR26" s="29" t="s">
        <v>372</v>
      </c>
      <c r="BS26" s="24" t="s">
        <v>373</v>
      </c>
    </row>
    <row r="27" spans="1:71" x14ac:dyDescent="0.15">
      <c r="A27" s="33">
        <v>1479</v>
      </c>
      <c r="B27" s="28">
        <v>41554</v>
      </c>
      <c r="C27" s="27" t="s">
        <v>315</v>
      </c>
      <c r="D27" s="24" t="s">
        <v>389</v>
      </c>
      <c r="E27" s="24"/>
      <c r="F27" s="24" t="s">
        <v>397</v>
      </c>
      <c r="G27" s="31">
        <v>41479</v>
      </c>
      <c r="H27" s="29" t="s">
        <v>346</v>
      </c>
      <c r="I27" s="29" t="s">
        <v>374</v>
      </c>
      <c r="J27" s="29"/>
      <c r="K27" s="24" t="s">
        <v>375</v>
      </c>
      <c r="L27" s="24" t="s">
        <v>376</v>
      </c>
      <c r="M27" s="24">
        <v>102.5</v>
      </c>
      <c r="N27" s="24">
        <v>40.799999999999997</v>
      </c>
      <c r="O27" s="24" t="s">
        <v>328</v>
      </c>
      <c r="P27" s="25">
        <v>2500</v>
      </c>
      <c r="Q27" s="24">
        <v>42.83</v>
      </c>
      <c r="R27" s="25"/>
      <c r="S27" s="24"/>
      <c r="T27" s="25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>
        <v>20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398</v>
      </c>
      <c r="AS27" s="29" t="s">
        <v>318</v>
      </c>
      <c r="AT27" s="29"/>
      <c r="AU27" s="29"/>
      <c r="AV27" s="29" t="s">
        <v>352</v>
      </c>
      <c r="AW27" s="29">
        <v>16</v>
      </c>
      <c r="AX27" s="29" t="s">
        <v>323</v>
      </c>
      <c r="AY27" s="24"/>
      <c r="AZ27" s="29">
        <v>0</v>
      </c>
      <c r="BA27" s="29">
        <v>0</v>
      </c>
      <c r="BB27" s="29">
        <v>10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318</v>
      </c>
      <c r="BL27" s="29"/>
      <c r="BM27" s="29" t="s">
        <v>318</v>
      </c>
      <c r="BN27" s="29"/>
      <c r="BO27" s="24"/>
      <c r="BP27" s="24"/>
      <c r="BQ27" s="29"/>
      <c r="BR27" s="29" t="s">
        <v>318</v>
      </c>
      <c r="BS27" s="24"/>
    </row>
    <row r="28" spans="1:71" x14ac:dyDescent="0.15">
      <c r="A28" s="33">
        <v>2354</v>
      </c>
      <c r="B28" s="28">
        <v>41554</v>
      </c>
      <c r="C28" s="27" t="s">
        <v>377</v>
      </c>
      <c r="D28" s="24" t="s">
        <v>378</v>
      </c>
      <c r="E28" s="24"/>
      <c r="F28" s="24" t="s">
        <v>403</v>
      </c>
      <c r="G28" s="31">
        <v>41515</v>
      </c>
      <c r="H28" s="29" t="s">
        <v>175</v>
      </c>
      <c r="I28" s="29" t="s">
        <v>174</v>
      </c>
      <c r="J28" s="29"/>
      <c r="K28" s="24" t="s">
        <v>307</v>
      </c>
      <c r="L28" s="24" t="s">
        <v>380</v>
      </c>
      <c r="M28" s="24">
        <v>99.59</v>
      </c>
      <c r="N28" s="24">
        <v>40.869999999999997</v>
      </c>
      <c r="O28" s="24"/>
      <c r="P28" s="25"/>
      <c r="Q28" s="24"/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27.69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 t="s">
        <v>404</v>
      </c>
      <c r="AS28" s="29" t="s">
        <v>174</v>
      </c>
      <c r="AT28" s="29"/>
      <c r="AU28" s="29"/>
      <c r="AV28" s="29" t="s">
        <v>382</v>
      </c>
      <c r="AW28" s="29">
        <v>17</v>
      </c>
      <c r="AX28" s="29" t="s">
        <v>383</v>
      </c>
      <c r="AY28" s="24"/>
      <c r="AZ28" s="29">
        <v>0</v>
      </c>
      <c r="BA28" s="29">
        <v>15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24</v>
      </c>
      <c r="BK28" s="29" t="s">
        <v>346</v>
      </c>
      <c r="BL28" s="29"/>
      <c r="BM28" s="29" t="s">
        <v>318</v>
      </c>
      <c r="BN28" s="29"/>
      <c r="BO28" s="30" t="s">
        <v>405</v>
      </c>
      <c r="BP28" s="30" t="s">
        <v>385</v>
      </c>
      <c r="BQ28" s="29">
        <v>50</v>
      </c>
      <c r="BR28" s="29" t="s">
        <v>318</v>
      </c>
      <c r="BS28" s="24"/>
    </row>
    <row r="29" spans="1:71" x14ac:dyDescent="0.15">
      <c r="A29" s="33">
        <v>1925</v>
      </c>
      <c r="B29" s="28">
        <v>41554</v>
      </c>
      <c r="C29" s="27" t="s">
        <v>315</v>
      </c>
      <c r="D29" s="24" t="s">
        <v>316</v>
      </c>
      <c r="E29" s="24"/>
      <c r="F29" s="24" t="s">
        <v>394</v>
      </c>
      <c r="G29" s="31">
        <v>41486</v>
      </c>
      <c r="H29" s="29" t="s">
        <v>386</v>
      </c>
      <c r="I29" s="29" t="s">
        <v>319</v>
      </c>
      <c r="J29" s="29"/>
      <c r="K29" s="24" t="s">
        <v>387</v>
      </c>
      <c r="L29" s="24" t="s">
        <v>336</v>
      </c>
      <c r="M29" s="24">
        <v>100</v>
      </c>
      <c r="N29" s="24">
        <v>42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27</v>
      </c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396</v>
      </c>
      <c r="AS29" s="29" t="s">
        <v>318</v>
      </c>
      <c r="AT29" s="29"/>
      <c r="AU29" s="29"/>
      <c r="AV29" s="29"/>
      <c r="AW29" s="29"/>
      <c r="AX29" s="29" t="s">
        <v>318</v>
      </c>
      <c r="AY29" s="24"/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/>
      <c r="BK29" s="29" t="s">
        <v>318</v>
      </c>
      <c r="BL29" s="29"/>
      <c r="BM29" s="29" t="s">
        <v>318</v>
      </c>
      <c r="BN29" s="29"/>
      <c r="BO29" s="30"/>
      <c r="BP29" s="30"/>
      <c r="BQ29" s="29"/>
      <c r="BR29" s="29" t="s">
        <v>318</v>
      </c>
      <c r="BS29" s="24" t="s">
        <v>388</v>
      </c>
    </row>
    <row r="30" spans="1:71" x14ac:dyDescent="0.15">
      <c r="A30" s="33">
        <v>2952</v>
      </c>
      <c r="B30" s="28">
        <v>41554</v>
      </c>
      <c r="C30" s="27" t="s">
        <v>315</v>
      </c>
      <c r="D30" s="24" t="s">
        <v>389</v>
      </c>
      <c r="E30" s="24"/>
      <c r="F30" s="24" t="s">
        <v>397</v>
      </c>
      <c r="G30" s="28">
        <v>41545</v>
      </c>
      <c r="H30" s="29" t="s">
        <v>390</v>
      </c>
      <c r="I30" s="29" t="s">
        <v>319</v>
      </c>
      <c r="J30" s="29"/>
      <c r="K30" s="24" t="s">
        <v>391</v>
      </c>
      <c r="L30" s="24" t="s">
        <v>392</v>
      </c>
      <c r="M30" s="24">
        <v>90</v>
      </c>
      <c r="N30" s="24">
        <v>32</v>
      </c>
      <c r="O30" s="24"/>
      <c r="P30" s="25"/>
      <c r="Q30" s="24"/>
      <c r="R30" s="25"/>
      <c r="S30" s="24"/>
      <c r="T30" s="25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13.75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400</v>
      </c>
      <c r="AS30" s="29" t="s">
        <v>318</v>
      </c>
      <c r="AT30" s="29"/>
      <c r="AU30" s="29"/>
      <c r="AV30" s="29"/>
      <c r="AW30" s="29"/>
      <c r="AX30" s="29" t="s">
        <v>353</v>
      </c>
      <c r="AY30" s="24"/>
      <c r="AZ30" s="29">
        <v>0</v>
      </c>
      <c r="BA30" s="29">
        <v>0</v>
      </c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24</v>
      </c>
      <c r="BK30" s="29" t="s">
        <v>346</v>
      </c>
      <c r="BL30" s="29"/>
      <c r="BM30" s="29" t="s">
        <v>318</v>
      </c>
      <c r="BN30" s="29"/>
      <c r="BO30" s="30"/>
      <c r="BP30" s="30"/>
      <c r="BQ30" s="30"/>
      <c r="BR30" s="29" t="s">
        <v>318</v>
      </c>
      <c r="BS30" s="24"/>
    </row>
    <row r="31" spans="1:71" x14ac:dyDescent="0.15">
      <c r="A31" s="33">
        <v>92</v>
      </c>
      <c r="B31" s="28">
        <v>41554</v>
      </c>
      <c r="C31" s="27" t="s">
        <v>315</v>
      </c>
      <c r="D31" s="24" t="s">
        <v>348</v>
      </c>
      <c r="E31" s="24"/>
      <c r="F31" s="24" t="s">
        <v>406</v>
      </c>
      <c r="G31" s="28">
        <v>41457</v>
      </c>
      <c r="H31" s="29" t="s">
        <v>318</v>
      </c>
      <c r="I31" s="29" t="s">
        <v>319</v>
      </c>
      <c r="J31" s="29"/>
      <c r="K31" s="24" t="s">
        <v>320</v>
      </c>
      <c r="L31" s="24" t="s">
        <v>321</v>
      </c>
      <c r="M31" s="24">
        <v>91</v>
      </c>
      <c r="N31" s="24">
        <v>43</v>
      </c>
      <c r="O31" s="24"/>
      <c r="P31" s="25"/>
      <c r="Q31" s="24"/>
      <c r="R31" s="25"/>
      <c r="S31" s="24"/>
      <c r="T31" s="25"/>
      <c r="U31" s="24"/>
      <c r="V31" s="24"/>
      <c r="W31" s="24">
        <v>28</v>
      </c>
      <c r="X31" s="25"/>
      <c r="Y31" s="24"/>
      <c r="Z31" s="25"/>
      <c r="AA31" s="24"/>
      <c r="AB31" s="25"/>
      <c r="AC31" s="24"/>
      <c r="AD31" s="24"/>
      <c r="AE31" s="24"/>
      <c r="AF31" s="24"/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407</v>
      </c>
      <c r="AS31" s="29" t="s">
        <v>174</v>
      </c>
      <c r="AT31" s="29"/>
      <c r="AU31" s="29"/>
      <c r="AV31" s="29"/>
      <c r="AW31" s="29"/>
      <c r="AX31" s="29" t="s">
        <v>323</v>
      </c>
      <c r="AY31" s="24"/>
      <c r="AZ31" s="29">
        <v>0</v>
      </c>
      <c r="BA31" s="29">
        <v>16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/>
      <c r="BK31" s="29" t="s">
        <v>324</v>
      </c>
      <c r="BL31" s="29">
        <v>24</v>
      </c>
      <c r="BM31" s="29" t="s">
        <v>318</v>
      </c>
      <c r="BN31" s="29"/>
      <c r="BO31" s="30"/>
      <c r="BP31" s="30"/>
      <c r="BQ31" s="29"/>
      <c r="BR31" s="29" t="s">
        <v>318</v>
      </c>
      <c r="BS31" s="24"/>
    </row>
    <row r="32" spans="1:71" x14ac:dyDescent="0.15">
      <c r="A32" s="33">
        <v>2590</v>
      </c>
      <c r="B32" s="28">
        <v>41554</v>
      </c>
      <c r="C32" s="27" t="s">
        <v>315</v>
      </c>
      <c r="D32" s="24" t="s">
        <v>316</v>
      </c>
      <c r="E32" s="24"/>
      <c r="F32" s="24" t="s">
        <v>408</v>
      </c>
      <c r="G32" s="31">
        <v>41477</v>
      </c>
      <c r="H32" s="29" t="s">
        <v>318</v>
      </c>
      <c r="I32" s="29" t="s">
        <v>319</v>
      </c>
      <c r="J32" s="29"/>
      <c r="K32" s="24" t="s">
        <v>326</v>
      </c>
      <c r="L32" s="24" t="s">
        <v>327</v>
      </c>
      <c r="M32" s="24">
        <v>103.4</v>
      </c>
      <c r="N32" s="24">
        <v>50.83</v>
      </c>
      <c r="O32" s="24"/>
      <c r="P32" s="25"/>
      <c r="Q32" s="24"/>
      <c r="R32" s="25"/>
      <c r="S32" s="24"/>
      <c r="T32" s="25"/>
      <c r="U32" s="24"/>
      <c r="V32" s="24"/>
      <c r="W32" s="24">
        <v>29.89</v>
      </c>
      <c r="X32" s="24"/>
      <c r="Y32" s="24"/>
      <c r="Z32" s="24"/>
      <c r="AA32" s="24"/>
      <c r="AB32" s="24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407</v>
      </c>
      <c r="AS32" s="29" t="s">
        <v>318</v>
      </c>
      <c r="AT32" s="29"/>
      <c r="AU32" s="29"/>
      <c r="AV32" s="29"/>
      <c r="AW32" s="29"/>
      <c r="AX32" s="29" t="s">
        <v>318</v>
      </c>
      <c r="AY32" s="24"/>
      <c r="AZ32" s="29">
        <v>0</v>
      </c>
      <c r="BA32" s="29">
        <v>0</v>
      </c>
      <c r="BB32" s="29">
        <v>0</v>
      </c>
      <c r="BC32" s="29">
        <v>28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/>
      <c r="BK32" s="29" t="s">
        <v>318</v>
      </c>
      <c r="BL32" s="29">
        <v>24</v>
      </c>
      <c r="BM32" s="29" t="s">
        <v>318</v>
      </c>
      <c r="BN32" s="29"/>
      <c r="BO32" s="24"/>
      <c r="BP32" s="24"/>
      <c r="BQ32" s="29"/>
      <c r="BR32" s="29" t="s">
        <v>318</v>
      </c>
      <c r="BS32" s="24"/>
    </row>
    <row r="33" spans="1:71" x14ac:dyDescent="0.15">
      <c r="A33" s="33">
        <v>203</v>
      </c>
      <c r="B33" s="28">
        <v>41554</v>
      </c>
      <c r="C33" s="27" t="s">
        <v>329</v>
      </c>
      <c r="D33" s="24" t="s">
        <v>316</v>
      </c>
      <c r="E33" s="24"/>
      <c r="F33" s="24" t="s">
        <v>406</v>
      </c>
      <c r="G33" s="28">
        <v>41455</v>
      </c>
      <c r="H33" s="29" t="s">
        <v>318</v>
      </c>
      <c r="I33" s="29" t="s">
        <v>330</v>
      </c>
      <c r="J33" s="29"/>
      <c r="K33" s="24" t="s">
        <v>331</v>
      </c>
      <c r="L33" s="24" t="s">
        <v>332</v>
      </c>
      <c r="M33" s="24">
        <v>79.2</v>
      </c>
      <c r="N33" s="24">
        <v>45.984000000000002</v>
      </c>
      <c r="O33" s="24"/>
      <c r="P33" s="24"/>
      <c r="Q33" s="24"/>
      <c r="R33" s="24"/>
      <c r="S33" s="24"/>
      <c r="T33" s="24"/>
      <c r="U33" s="24"/>
      <c r="V33" s="24"/>
      <c r="W33" s="24">
        <v>38.112000000000002</v>
      </c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 t="s">
        <v>407</v>
      </c>
      <c r="AS33" s="29" t="s">
        <v>318</v>
      </c>
      <c r="AT33" s="29"/>
      <c r="AU33" s="29"/>
      <c r="AV33" s="29"/>
      <c r="AW33" s="29"/>
      <c r="AX33" s="29" t="s">
        <v>318</v>
      </c>
      <c r="AY33" s="24"/>
      <c r="AZ33" s="29">
        <v>0</v>
      </c>
      <c r="BA33" s="29">
        <v>0</v>
      </c>
      <c r="BB33" s="29">
        <v>7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318</v>
      </c>
      <c r="BL33" s="29"/>
      <c r="BM33" s="29" t="s">
        <v>318</v>
      </c>
      <c r="BN33" s="29"/>
      <c r="BO33" s="30"/>
      <c r="BP33" s="30"/>
      <c r="BQ33" s="29"/>
      <c r="BR33" s="29" t="s">
        <v>318</v>
      </c>
      <c r="BS33" s="24" t="s">
        <v>333</v>
      </c>
    </row>
    <row r="34" spans="1:71" x14ac:dyDescent="0.15">
      <c r="A34" s="33">
        <v>243</v>
      </c>
      <c r="B34" s="28">
        <v>41554</v>
      </c>
      <c r="C34" s="27" t="s">
        <v>315</v>
      </c>
      <c r="D34" s="24" t="s">
        <v>316</v>
      </c>
      <c r="E34" s="24"/>
      <c r="F34" s="24" t="s">
        <v>409</v>
      </c>
      <c r="G34" s="28">
        <v>41495</v>
      </c>
      <c r="H34" s="29" t="s">
        <v>334</v>
      </c>
      <c r="I34" s="29" t="s">
        <v>340</v>
      </c>
      <c r="J34" s="29"/>
      <c r="K34" s="24" t="s">
        <v>335</v>
      </c>
      <c r="L34" s="24" t="s">
        <v>336</v>
      </c>
      <c r="M34" s="24">
        <v>89.5</v>
      </c>
      <c r="N34" s="24">
        <v>48.7</v>
      </c>
      <c r="O34" s="24"/>
      <c r="P34" s="25"/>
      <c r="Q34" s="24"/>
      <c r="R34" s="25"/>
      <c r="S34" s="24"/>
      <c r="T34" s="25"/>
      <c r="U34" s="24"/>
      <c r="V34" s="24"/>
      <c r="W34" s="24">
        <v>30.95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407</v>
      </c>
      <c r="AS34" s="29" t="s">
        <v>324</v>
      </c>
      <c r="AT34" s="29"/>
      <c r="AU34" s="29"/>
      <c r="AV34" s="29" t="s">
        <v>338</v>
      </c>
      <c r="AW34" s="29">
        <v>11.6</v>
      </c>
      <c r="AX34" s="29" t="s">
        <v>324</v>
      </c>
      <c r="AY34" s="24"/>
      <c r="AZ34" s="29">
        <v>0</v>
      </c>
      <c r="BA34" s="29">
        <v>0</v>
      </c>
      <c r="BB34" s="29">
        <v>0</v>
      </c>
      <c r="BC34" s="29">
        <v>20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/>
      <c r="BK34" s="29" t="s">
        <v>324</v>
      </c>
      <c r="BL34" s="29"/>
      <c r="BM34" s="29" t="s">
        <v>318</v>
      </c>
      <c r="BN34" s="29"/>
      <c r="BO34" s="30" t="s">
        <v>339</v>
      </c>
      <c r="BP34" s="24"/>
      <c r="BQ34" s="29"/>
      <c r="BR34" s="29" t="s">
        <v>318</v>
      </c>
      <c r="BS34" s="24"/>
    </row>
    <row r="35" spans="1:71" x14ac:dyDescent="0.15">
      <c r="A35" s="33">
        <v>397</v>
      </c>
      <c r="B35" s="28">
        <v>41554</v>
      </c>
      <c r="C35" s="27" t="s">
        <v>315</v>
      </c>
      <c r="D35" s="24" t="s">
        <v>316</v>
      </c>
      <c r="E35" s="24"/>
      <c r="F35" s="24" t="s">
        <v>410</v>
      </c>
      <c r="G35" s="28">
        <v>41455</v>
      </c>
      <c r="H35" s="29" t="s">
        <v>334</v>
      </c>
      <c r="I35" s="29" t="s">
        <v>340</v>
      </c>
      <c r="J35" s="29"/>
      <c r="K35" s="24" t="s">
        <v>341</v>
      </c>
      <c r="L35" s="24" t="s">
        <v>342</v>
      </c>
      <c r="M35" s="24">
        <v>99.5</v>
      </c>
      <c r="N35" s="24">
        <v>41.9</v>
      </c>
      <c r="O35" s="24" t="s">
        <v>328</v>
      </c>
      <c r="P35" s="25">
        <v>1000</v>
      </c>
      <c r="Q35" s="24">
        <v>42.6</v>
      </c>
      <c r="R35" s="25">
        <v>1500</v>
      </c>
      <c r="S35" s="24">
        <v>44.9</v>
      </c>
      <c r="T35" s="25"/>
      <c r="U35" s="24"/>
      <c r="V35" s="24"/>
      <c r="W35" s="24">
        <v>27.95</v>
      </c>
      <c r="X35" s="24"/>
      <c r="Y35" s="24"/>
      <c r="Z35" s="24"/>
      <c r="AA35" s="24"/>
      <c r="AB35" s="24"/>
      <c r="AC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407</v>
      </c>
      <c r="AS35" s="29" t="s">
        <v>318</v>
      </c>
      <c r="AT35" s="29"/>
      <c r="AU35" s="29"/>
      <c r="AV35" s="29" t="s">
        <v>344</v>
      </c>
      <c r="AW35" s="29">
        <v>12</v>
      </c>
      <c r="AX35" s="29" t="s">
        <v>345</v>
      </c>
      <c r="AY35" s="24"/>
      <c r="AZ35" s="29">
        <v>0</v>
      </c>
      <c r="BA35" s="29">
        <v>0</v>
      </c>
      <c r="BB35" s="29">
        <v>7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24</v>
      </c>
      <c r="BK35" s="29" t="s">
        <v>346</v>
      </c>
      <c r="BL35" s="29"/>
      <c r="BM35" s="29" t="s">
        <v>318</v>
      </c>
      <c r="BN35" s="29"/>
      <c r="BO35" s="24"/>
      <c r="BP35" s="24"/>
      <c r="BQ35" s="29"/>
      <c r="BR35" s="29" t="s">
        <v>318</v>
      </c>
      <c r="BS35" s="24" t="s">
        <v>347</v>
      </c>
    </row>
    <row r="36" spans="1:71" x14ac:dyDescent="0.15">
      <c r="A36" s="33">
        <v>575</v>
      </c>
      <c r="B36" s="28">
        <v>41554</v>
      </c>
      <c r="C36" s="27" t="s">
        <v>315</v>
      </c>
      <c r="D36" s="24" t="s">
        <v>316</v>
      </c>
      <c r="E36" s="24"/>
      <c r="F36" s="24" t="s">
        <v>411</v>
      </c>
      <c r="G36" s="28">
        <v>41509</v>
      </c>
      <c r="H36" s="29" t="s">
        <v>346</v>
      </c>
      <c r="I36" s="29" t="s">
        <v>318</v>
      </c>
      <c r="J36" s="29"/>
      <c r="K36" s="24" t="s">
        <v>412</v>
      </c>
      <c r="L36" s="24" t="s">
        <v>350</v>
      </c>
      <c r="M36" s="24">
        <v>89.6</v>
      </c>
      <c r="N36" s="24">
        <v>52.42</v>
      </c>
      <c r="O36" s="24"/>
      <c r="P36" s="25"/>
      <c r="Q36" s="24"/>
      <c r="R36" s="25"/>
      <c r="S36" s="24"/>
      <c r="T36" s="25"/>
      <c r="U36" s="24"/>
      <c r="V36" s="24"/>
      <c r="W36" s="24">
        <v>25.3</v>
      </c>
      <c r="X36" s="25"/>
      <c r="Y36" s="24"/>
      <c r="Z36" s="25"/>
      <c r="AA36" s="24"/>
      <c r="AB36" s="25"/>
      <c r="AC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407</v>
      </c>
      <c r="AS36" s="29" t="s">
        <v>318</v>
      </c>
      <c r="AT36" s="29"/>
      <c r="AU36" s="29"/>
      <c r="AV36" s="29" t="s">
        <v>352</v>
      </c>
      <c r="AW36" s="29">
        <v>15</v>
      </c>
      <c r="AX36" s="29" t="s">
        <v>353</v>
      </c>
      <c r="AY36" s="24"/>
      <c r="AZ36" s="29">
        <v>0</v>
      </c>
      <c r="BA36" s="29">
        <v>16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24</v>
      </c>
      <c r="BK36" s="29" t="s">
        <v>346</v>
      </c>
      <c r="BL36" s="29"/>
      <c r="BM36" s="29" t="s">
        <v>318</v>
      </c>
      <c r="BN36" s="29"/>
      <c r="BO36" s="24"/>
      <c r="BP36" s="24"/>
      <c r="BQ36" s="29"/>
      <c r="BR36" s="29" t="s">
        <v>318</v>
      </c>
      <c r="BS36" s="24"/>
    </row>
    <row r="37" spans="1:71" x14ac:dyDescent="0.15">
      <c r="A37" s="33">
        <v>704</v>
      </c>
      <c r="B37" s="28">
        <v>41554</v>
      </c>
      <c r="C37" s="27" t="s">
        <v>315</v>
      </c>
      <c r="D37" s="24" t="s">
        <v>316</v>
      </c>
      <c r="E37" s="24"/>
      <c r="F37" s="24" t="s">
        <v>406</v>
      </c>
      <c r="G37" s="28">
        <v>41429</v>
      </c>
      <c r="H37" s="29" t="s">
        <v>346</v>
      </c>
      <c r="I37" s="29" t="s">
        <v>318</v>
      </c>
      <c r="J37" s="29"/>
      <c r="K37" s="24" t="s">
        <v>355</v>
      </c>
      <c r="L37" s="24" t="s">
        <v>356</v>
      </c>
      <c r="M37" s="24">
        <v>110</v>
      </c>
      <c r="N37" s="24">
        <v>56.83</v>
      </c>
      <c r="O37" s="24"/>
      <c r="P37" s="24"/>
      <c r="Q37" s="24"/>
      <c r="R37" s="24"/>
      <c r="S37" s="24"/>
      <c r="T37" s="24"/>
      <c r="U37" s="24"/>
      <c r="V37" s="24"/>
      <c r="W37" s="24">
        <v>28.64</v>
      </c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 t="s">
        <v>413</v>
      </c>
      <c r="AS37" s="29" t="s">
        <v>318</v>
      </c>
      <c r="AT37" s="29"/>
      <c r="AU37" s="29"/>
      <c r="AV37" s="29" t="s">
        <v>352</v>
      </c>
      <c r="AW37" s="29">
        <v>6.8</v>
      </c>
      <c r="AX37" s="29" t="s">
        <v>318</v>
      </c>
      <c r="AY37" s="24"/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/>
      <c r="BK37" s="29" t="s">
        <v>318</v>
      </c>
      <c r="BL37" s="29"/>
      <c r="BM37" s="29" t="s">
        <v>318</v>
      </c>
      <c r="BN37" s="29"/>
      <c r="BO37" s="30"/>
      <c r="BP37" s="30"/>
      <c r="BQ37" s="29"/>
      <c r="BR37" s="29" t="s">
        <v>318</v>
      </c>
      <c r="BS37" s="24"/>
    </row>
    <row r="38" spans="1:71" x14ac:dyDescent="0.15">
      <c r="A38" s="33">
        <v>3066</v>
      </c>
      <c r="B38" s="28">
        <v>41554</v>
      </c>
      <c r="C38" s="27" t="s">
        <v>315</v>
      </c>
      <c r="D38" s="24" t="s">
        <v>316</v>
      </c>
      <c r="E38" s="24"/>
      <c r="F38" s="24" t="s">
        <v>414</v>
      </c>
      <c r="G38" s="28">
        <v>41468</v>
      </c>
      <c r="H38" s="29" t="s">
        <v>346</v>
      </c>
      <c r="I38" s="29" t="s">
        <v>318</v>
      </c>
      <c r="J38" s="29"/>
      <c r="K38" s="24" t="s">
        <v>302</v>
      </c>
      <c r="L38" s="24" t="s">
        <v>359</v>
      </c>
      <c r="M38" s="24">
        <v>86.36</v>
      </c>
      <c r="N38" s="24">
        <v>37.1</v>
      </c>
      <c r="O38" s="24"/>
      <c r="P38" s="25"/>
      <c r="Q38" s="24"/>
      <c r="R38" s="25"/>
      <c r="S38" s="24"/>
      <c r="T38" s="25"/>
      <c r="U38" s="24"/>
      <c r="V38" s="24"/>
      <c r="W38" s="24">
        <v>27.4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 t="s">
        <v>415</v>
      </c>
      <c r="AS38" s="29" t="s">
        <v>318</v>
      </c>
      <c r="AT38" s="29"/>
      <c r="AU38" s="29"/>
      <c r="AV38" s="29" t="s">
        <v>360</v>
      </c>
      <c r="AW38" s="29">
        <v>16</v>
      </c>
      <c r="AX38" s="29" t="s">
        <v>361</v>
      </c>
      <c r="AY38" s="24"/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36</v>
      </c>
      <c r="BK38" s="29" t="s">
        <v>318</v>
      </c>
      <c r="BL38" s="29"/>
      <c r="BM38" s="29" t="s">
        <v>318</v>
      </c>
      <c r="BN38" s="29"/>
      <c r="BO38" s="24"/>
      <c r="BP38" s="24"/>
      <c r="BQ38" s="29"/>
      <c r="BR38" s="29" t="s">
        <v>318</v>
      </c>
      <c r="BS38" s="24"/>
    </row>
    <row r="39" spans="1:71" x14ac:dyDescent="0.15">
      <c r="A39" s="33">
        <v>924</v>
      </c>
      <c r="B39" s="28">
        <v>41554</v>
      </c>
      <c r="C39" s="27" t="s">
        <v>315</v>
      </c>
      <c r="D39" s="24" t="s">
        <v>316</v>
      </c>
      <c r="E39" s="24"/>
      <c r="F39" s="24" t="s">
        <v>414</v>
      </c>
      <c r="G39" s="28">
        <v>41517</v>
      </c>
      <c r="H39" s="29" t="s">
        <v>346</v>
      </c>
      <c r="I39" s="29" t="s">
        <v>318</v>
      </c>
      <c r="J39" s="29"/>
      <c r="K39" s="24" t="s">
        <v>362</v>
      </c>
      <c r="L39" s="24" t="s">
        <v>363</v>
      </c>
      <c r="M39" s="24">
        <v>90.55</v>
      </c>
      <c r="N39" s="24">
        <v>46.51</v>
      </c>
      <c r="O39" s="24" t="s">
        <v>328</v>
      </c>
      <c r="P39" s="25">
        <v>1200</v>
      </c>
      <c r="Q39" s="24">
        <v>45.58</v>
      </c>
      <c r="R39" s="25"/>
      <c r="S39" s="24"/>
      <c r="T39" s="25"/>
      <c r="U39" s="24"/>
      <c r="V39" s="24"/>
      <c r="W39" s="24">
        <v>27.86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415</v>
      </c>
      <c r="AS39" s="29" t="s">
        <v>318</v>
      </c>
      <c r="AT39" s="29"/>
      <c r="AU39" s="29"/>
      <c r="AV39" s="29" t="s">
        <v>360</v>
      </c>
      <c r="AW39" s="29">
        <v>6.8</v>
      </c>
      <c r="AX39" s="29" t="s">
        <v>318</v>
      </c>
      <c r="AY39" s="24"/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12</v>
      </c>
      <c r="BK39" s="29" t="s">
        <v>334</v>
      </c>
      <c r="BL39" s="29"/>
      <c r="BM39" s="29" t="s">
        <v>318</v>
      </c>
      <c r="BN39" s="29"/>
      <c r="BO39" s="24"/>
      <c r="BP39" s="24"/>
      <c r="BQ39" s="29"/>
      <c r="BR39" s="29" t="s">
        <v>318</v>
      </c>
      <c r="BS39" s="24" t="s">
        <v>364</v>
      </c>
    </row>
    <row r="40" spans="1:71" x14ac:dyDescent="0.15">
      <c r="A40" s="33">
        <v>1151</v>
      </c>
      <c r="B40" s="28">
        <v>41554</v>
      </c>
      <c r="C40" s="27" t="s">
        <v>315</v>
      </c>
      <c r="D40" s="24" t="s">
        <v>316</v>
      </c>
      <c r="E40" s="24"/>
      <c r="F40" s="24" t="s">
        <v>411</v>
      </c>
      <c r="G40" s="28">
        <v>41549</v>
      </c>
      <c r="H40" s="29" t="s">
        <v>365</v>
      </c>
      <c r="I40" s="29" t="s">
        <v>318</v>
      </c>
      <c r="J40" s="29"/>
      <c r="K40" s="24" t="s">
        <v>366</v>
      </c>
      <c r="L40" s="24" t="s">
        <v>367</v>
      </c>
      <c r="M40" s="24">
        <v>90.95</v>
      </c>
      <c r="N40" s="24">
        <v>42.66</v>
      </c>
      <c r="O40" s="24"/>
      <c r="P40" s="25"/>
      <c r="Q40" s="24"/>
      <c r="R40" s="25"/>
      <c r="S40" s="24"/>
      <c r="T40" s="25"/>
      <c r="U40" s="24"/>
      <c r="V40" s="24"/>
      <c r="W40" s="24">
        <v>27.7</v>
      </c>
      <c r="X40" s="24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 t="s">
        <v>407</v>
      </c>
      <c r="AS40" s="29" t="s">
        <v>318</v>
      </c>
      <c r="AT40" s="29"/>
      <c r="AU40" s="29"/>
      <c r="AV40" s="29" t="s">
        <v>352</v>
      </c>
      <c r="AW40" s="29">
        <v>11</v>
      </c>
      <c r="AX40" s="29" t="s">
        <v>353</v>
      </c>
      <c r="AY40" s="24"/>
      <c r="AZ40" s="29">
        <v>0</v>
      </c>
      <c r="BA40" s="29">
        <v>16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12</v>
      </c>
      <c r="BK40" s="29" t="s">
        <v>368</v>
      </c>
      <c r="BL40" s="29"/>
      <c r="BM40" s="29" t="s">
        <v>318</v>
      </c>
      <c r="BN40" s="29"/>
      <c r="BO40" s="30"/>
      <c r="BP40" s="30"/>
      <c r="BQ40" s="29"/>
      <c r="BR40" s="29" t="s">
        <v>318</v>
      </c>
      <c r="BS40" s="30" t="s">
        <v>369</v>
      </c>
    </row>
    <row r="41" spans="1:71" x14ac:dyDescent="0.15">
      <c r="A41" s="33">
        <v>1325</v>
      </c>
      <c r="B41" s="28">
        <v>41554</v>
      </c>
      <c r="C41" s="27" t="s">
        <v>315</v>
      </c>
      <c r="D41" s="24" t="s">
        <v>316</v>
      </c>
      <c r="E41" s="24"/>
      <c r="F41" s="24" t="s">
        <v>411</v>
      </c>
      <c r="G41" s="28">
        <v>41503</v>
      </c>
      <c r="H41" s="29" t="s">
        <v>346</v>
      </c>
      <c r="I41" s="29" t="s">
        <v>318</v>
      </c>
      <c r="J41" s="29"/>
      <c r="K41" s="24" t="s">
        <v>370</v>
      </c>
      <c r="L41" s="24" t="s">
        <v>371</v>
      </c>
      <c r="M41" s="24">
        <v>91</v>
      </c>
      <c r="N41" s="24">
        <v>36.119999999999997</v>
      </c>
      <c r="O41" s="24"/>
      <c r="P41" s="25"/>
      <c r="Q41" s="24"/>
      <c r="R41" s="25"/>
      <c r="S41" s="24"/>
      <c r="T41" s="25"/>
      <c r="U41" s="24"/>
      <c r="V41" s="24"/>
      <c r="W41" s="24">
        <v>23.52</v>
      </c>
      <c r="X41" s="24"/>
      <c r="Y41" s="24"/>
      <c r="Z41" s="25"/>
      <c r="AA41" s="24"/>
      <c r="AB41" s="25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 t="s">
        <v>416</v>
      </c>
      <c r="AS41" s="29" t="s">
        <v>318</v>
      </c>
      <c r="AT41" s="29"/>
      <c r="AU41" s="29"/>
      <c r="AV41" s="29" t="s">
        <v>352</v>
      </c>
      <c r="AW41" s="29">
        <v>16.3</v>
      </c>
      <c r="AX41" s="29" t="s">
        <v>353</v>
      </c>
      <c r="AY41" s="24"/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/>
      <c r="BK41" s="29" t="s">
        <v>318</v>
      </c>
      <c r="BL41" s="29">
        <v>24</v>
      </c>
      <c r="BM41" s="29" t="s">
        <v>318</v>
      </c>
      <c r="BN41" s="29"/>
      <c r="BO41" s="30"/>
      <c r="BP41" s="30"/>
      <c r="BQ41" s="29"/>
      <c r="BR41" s="29" t="s">
        <v>372</v>
      </c>
      <c r="BS41" s="24" t="s">
        <v>373</v>
      </c>
    </row>
    <row r="42" spans="1:71" x14ac:dyDescent="0.15">
      <c r="A42" s="33">
        <v>1481</v>
      </c>
      <c r="B42" s="28">
        <v>41554</v>
      </c>
      <c r="C42" s="27" t="s">
        <v>315</v>
      </c>
      <c r="D42" s="24" t="s">
        <v>389</v>
      </c>
      <c r="E42" s="24"/>
      <c r="F42" s="24" t="s">
        <v>406</v>
      </c>
      <c r="G42" s="31">
        <v>41479</v>
      </c>
      <c r="H42" s="29" t="s">
        <v>346</v>
      </c>
      <c r="I42" s="29" t="s">
        <v>374</v>
      </c>
      <c r="J42" s="29"/>
      <c r="K42" s="24" t="s">
        <v>375</v>
      </c>
      <c r="L42" s="24" t="s">
        <v>376</v>
      </c>
      <c r="M42" s="24">
        <v>102.5</v>
      </c>
      <c r="N42" s="24">
        <v>45.42</v>
      </c>
      <c r="O42" s="24"/>
      <c r="P42" s="25"/>
      <c r="Q42" s="24"/>
      <c r="R42" s="25"/>
      <c r="S42" s="24"/>
      <c r="T42" s="25"/>
      <c r="U42" s="24"/>
      <c r="V42" s="24"/>
      <c r="W42" s="24">
        <v>33.51</v>
      </c>
      <c r="X42" s="24"/>
      <c r="Y42" s="24"/>
      <c r="Z42" s="24"/>
      <c r="AA42" s="24"/>
      <c r="AB42" s="24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 t="s">
        <v>415</v>
      </c>
      <c r="AS42" s="29" t="s">
        <v>318</v>
      </c>
      <c r="AT42" s="29"/>
      <c r="AU42" s="29"/>
      <c r="AV42" s="29" t="s">
        <v>352</v>
      </c>
      <c r="AW42" s="29">
        <v>16</v>
      </c>
      <c r="AX42" s="29" t="s">
        <v>323</v>
      </c>
      <c r="AY42" s="24"/>
      <c r="AZ42" s="29">
        <v>0</v>
      </c>
      <c r="BA42" s="29">
        <v>0</v>
      </c>
      <c r="BB42" s="29">
        <v>10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/>
      <c r="BK42" s="29" t="s">
        <v>318</v>
      </c>
      <c r="BL42" s="29"/>
      <c r="BM42" s="29" t="s">
        <v>318</v>
      </c>
      <c r="BN42" s="29"/>
      <c r="BO42" s="24"/>
      <c r="BP42" s="24"/>
      <c r="BQ42" s="29"/>
      <c r="BR42" s="29" t="s">
        <v>318</v>
      </c>
      <c r="BS42" s="24"/>
    </row>
    <row r="43" spans="1:71" x14ac:dyDescent="0.15">
      <c r="A43" s="33">
        <v>2356</v>
      </c>
      <c r="B43" s="28">
        <v>41554</v>
      </c>
      <c r="C43" s="27" t="s">
        <v>377</v>
      </c>
      <c r="D43" s="24" t="s">
        <v>378</v>
      </c>
      <c r="E43" s="24"/>
      <c r="F43" s="24" t="s">
        <v>417</v>
      </c>
      <c r="G43" s="31">
        <v>41515</v>
      </c>
      <c r="H43" s="29" t="s">
        <v>175</v>
      </c>
      <c r="I43" s="29" t="s">
        <v>174</v>
      </c>
      <c r="J43" s="29"/>
      <c r="K43" s="24" t="s">
        <v>307</v>
      </c>
      <c r="L43" s="24" t="s">
        <v>380</v>
      </c>
      <c r="M43" s="24">
        <v>99.59</v>
      </c>
      <c r="N43" s="24">
        <v>48.75</v>
      </c>
      <c r="O43" s="24"/>
      <c r="P43" s="25"/>
      <c r="Q43" s="24"/>
      <c r="R43" s="25"/>
      <c r="S43" s="24"/>
      <c r="T43" s="25"/>
      <c r="U43" s="24"/>
      <c r="V43" s="24"/>
      <c r="W43" s="24">
        <v>28.55</v>
      </c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 t="s">
        <v>418</v>
      </c>
      <c r="AS43" s="29" t="s">
        <v>174</v>
      </c>
      <c r="AT43" s="29"/>
      <c r="AU43" s="29"/>
      <c r="AV43" s="29" t="s">
        <v>382</v>
      </c>
      <c r="AW43" s="29">
        <v>17</v>
      </c>
      <c r="AX43" s="29" t="s">
        <v>383</v>
      </c>
      <c r="AY43" s="24"/>
      <c r="AZ43" s="29">
        <v>0</v>
      </c>
      <c r="BA43" s="29">
        <v>15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24</v>
      </c>
      <c r="BK43" s="29" t="s">
        <v>346</v>
      </c>
      <c r="BL43" s="29"/>
      <c r="BM43" s="29" t="s">
        <v>318</v>
      </c>
      <c r="BN43" s="29"/>
      <c r="BO43" s="30" t="s">
        <v>405</v>
      </c>
      <c r="BP43" s="30" t="s">
        <v>385</v>
      </c>
      <c r="BQ43" s="29">
        <v>50</v>
      </c>
      <c r="BR43" s="29" t="s">
        <v>318</v>
      </c>
      <c r="BS43" s="24"/>
    </row>
    <row r="44" spans="1:71" x14ac:dyDescent="0.15">
      <c r="A44" s="33">
        <v>1927</v>
      </c>
      <c r="B44" s="28">
        <v>41554</v>
      </c>
      <c r="C44" s="27" t="s">
        <v>315</v>
      </c>
      <c r="D44" s="24" t="s">
        <v>316</v>
      </c>
      <c r="E44" s="24"/>
      <c r="F44" s="24" t="s">
        <v>406</v>
      </c>
      <c r="G44" s="31">
        <v>41486</v>
      </c>
      <c r="H44" s="29" t="s">
        <v>386</v>
      </c>
      <c r="I44" s="29" t="s">
        <v>319</v>
      </c>
      <c r="J44" s="29"/>
      <c r="K44" s="24" t="s">
        <v>387</v>
      </c>
      <c r="L44" s="24" t="s">
        <v>336</v>
      </c>
      <c r="M44" s="24">
        <v>100</v>
      </c>
      <c r="N44" s="24">
        <v>45.6</v>
      </c>
      <c r="O44" s="24"/>
      <c r="P44" s="24"/>
      <c r="Q44" s="24"/>
      <c r="R44" s="24"/>
      <c r="S44" s="24"/>
      <c r="T44" s="24"/>
      <c r="U44" s="24"/>
      <c r="V44" s="24"/>
      <c r="W44" s="24">
        <v>29.5</v>
      </c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 t="s">
        <v>413</v>
      </c>
      <c r="AS44" s="29" t="s">
        <v>318</v>
      </c>
      <c r="AT44" s="29"/>
      <c r="AU44" s="29"/>
      <c r="AV44" s="29"/>
      <c r="AW44" s="29"/>
      <c r="AX44" s="29" t="s">
        <v>318</v>
      </c>
      <c r="AY44" s="24"/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/>
      <c r="BK44" s="29" t="s">
        <v>318</v>
      </c>
      <c r="BL44" s="29"/>
      <c r="BM44" s="29" t="s">
        <v>318</v>
      </c>
      <c r="BN44" s="29"/>
      <c r="BO44" s="30"/>
      <c r="BP44" s="30"/>
      <c r="BQ44" s="29"/>
      <c r="BR44" s="29" t="s">
        <v>318</v>
      </c>
      <c r="BS44" s="24" t="s">
        <v>388</v>
      </c>
    </row>
    <row r="45" spans="1:71" x14ac:dyDescent="0.15">
      <c r="A45" s="33">
        <v>2954</v>
      </c>
      <c r="B45" s="28">
        <v>41554</v>
      </c>
      <c r="C45" s="27" t="s">
        <v>377</v>
      </c>
      <c r="D45" s="24" t="s">
        <v>378</v>
      </c>
      <c r="E45" s="24"/>
      <c r="F45" s="24" t="s">
        <v>417</v>
      </c>
      <c r="G45" s="28">
        <v>41545</v>
      </c>
      <c r="H45" s="29" t="s">
        <v>390</v>
      </c>
      <c r="I45" s="29" t="s">
        <v>319</v>
      </c>
      <c r="J45" s="29"/>
      <c r="K45" s="24" t="s">
        <v>391</v>
      </c>
      <c r="L45" s="24" t="s">
        <v>392</v>
      </c>
      <c r="M45" s="24">
        <v>90</v>
      </c>
      <c r="N45" s="24">
        <v>34</v>
      </c>
      <c r="O45" s="24"/>
      <c r="P45" s="25"/>
      <c r="Q45" s="24"/>
      <c r="R45" s="25"/>
      <c r="S45" s="24"/>
      <c r="T45" s="25"/>
      <c r="U45" s="24"/>
      <c r="V45" s="24"/>
      <c r="W45" s="24">
        <v>22</v>
      </c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 t="s">
        <v>418</v>
      </c>
      <c r="AS45" s="29" t="s">
        <v>174</v>
      </c>
      <c r="AT45" s="29"/>
      <c r="AU45" s="29"/>
      <c r="AV45" s="29"/>
      <c r="AW45" s="29"/>
      <c r="AX45" s="29" t="s">
        <v>353</v>
      </c>
      <c r="AY45" s="24"/>
      <c r="AZ45" s="29">
        <v>0</v>
      </c>
      <c r="BA45" s="29">
        <v>0</v>
      </c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24</v>
      </c>
      <c r="BK45" s="29" t="s">
        <v>346</v>
      </c>
      <c r="BL45" s="29"/>
      <c r="BM45" s="29" t="s">
        <v>318</v>
      </c>
      <c r="BN45" s="29"/>
      <c r="BO45" s="24"/>
      <c r="BP45" s="24"/>
      <c r="BQ45" s="29"/>
      <c r="BR45" s="29" t="s">
        <v>318</v>
      </c>
      <c r="BS45" s="24"/>
    </row>
  </sheetData>
  <sheetProtection algorithmName="SHA-512" hashValue="Zv8++PnURj17B6GBKEVmSWX9ZrA+xlspcN3RgTEBdjaNW6/kTcEUVrVNoRXz9sUGl9ue2y8HMXP157MoEfBluQ==" saltValue="Fi65y9rOh1wJYRlGwvdW6A==" spinCount="100000" sheet="1" objects="1" scenarios="1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A3869-D0E8-7B40-B03D-2E7FB07FF130}">
  <sheetPr codeName="Sheet25">
    <tabColor theme="7" tint="0.39997558519241921"/>
  </sheetPr>
  <dimension ref="A1:AP93"/>
  <sheetViews>
    <sheetView zoomScaleNormal="100" zoomScalePageLayoutView="125" workbookViewId="0">
      <selection activeCell="V20" activeCellId="1" sqref="V22:V24 V8:V20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2" ht="14" x14ac:dyDescent="0.15">
      <c r="A1" s="290" t="s">
        <v>31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90"/>
      <c r="AM1" s="290"/>
      <c r="AN1" s="290"/>
      <c r="AO1" s="290"/>
      <c r="AP1" s="290"/>
    </row>
    <row r="2" spans="1:42" ht="14" x14ac:dyDescent="0.15">
      <c r="A2" s="291" t="s">
        <v>236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0"/>
      <c r="AP2" s="290"/>
    </row>
    <row r="3" spans="1:42" ht="15" thickBot="1" x14ac:dyDescent="0.2">
      <c r="A3" s="290"/>
      <c r="B3" s="290"/>
      <c r="C3" s="290"/>
      <c r="D3" s="290"/>
      <c r="E3" s="290"/>
      <c r="F3" s="290"/>
      <c r="G3" s="292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  <c r="AA3" s="290"/>
      <c r="AB3" s="290"/>
      <c r="AC3" s="290"/>
      <c r="AD3" s="290"/>
      <c r="AE3" s="290"/>
      <c r="AF3" s="290"/>
      <c r="AG3" s="290"/>
      <c r="AH3" s="290"/>
      <c r="AI3" s="290"/>
      <c r="AJ3" s="290"/>
      <c r="AK3" s="290"/>
      <c r="AL3" s="290"/>
      <c r="AM3" s="290"/>
      <c r="AN3" s="290"/>
      <c r="AO3" s="290"/>
      <c r="AP3" s="290"/>
    </row>
    <row r="4" spans="1:42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9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</row>
    <row r="5" spans="1:42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41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</row>
    <row r="6" spans="1:42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41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</row>
    <row r="7" spans="1:42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380" t="s">
        <v>272</v>
      </c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</row>
    <row r="8" spans="1:42" ht="14" x14ac:dyDescent="0.15">
      <c r="A8" s="70" t="str">
        <f>'SA Apr 2023'!K2</f>
        <v>AGL</v>
      </c>
      <c r="B8" s="49" t="str">
        <f>'SA Apr 2023'!L2</f>
        <v>Business Value Saver</v>
      </c>
      <c r="C8" s="46">
        <f>IF('SA Apr 2023'!BP2=0,91*'SA Apr 2023'!M2/100,(91*'SA Apr 2023'!M2/100)+'SA Apr 2023'!BP2/4)</f>
        <v>90.511909090909086</v>
      </c>
      <c r="D8" s="46">
        <f>IF('SA Apr 2023'!O2="",$C$5*'SA Apr 2023'!N2/100,IF($C$5&gt;='SA Apr 2023'!P2,('SA Apr 2023'!P2*'SA Apr 2023'!N2/100),($C$5*'SA Apr 2023'!N2/100)))</f>
        <v>1715.9090909090905</v>
      </c>
      <c r="E8" s="46">
        <f>IF(AND('SA Apr 2023'!P2&gt;0,'SA Apr 2023'!R2&gt;0),IF($C$5&lt;'SA Apr 2023'!P2,0,IF($C$5&lt;=('SA Apr 2023'!R2+'SA Apr 2023'!P2),(($C$5-'SA Apr 2023'!P2)*'SA Apr 2023'!Q2/100),(('SA Apr 2023'!R2)*'SA Apr 2023'!Q2/100))),0)</f>
        <v>0</v>
      </c>
      <c r="F8" s="46">
        <f>IF(AND('SA Apr 2023'!Q2&gt;0,'SA Apr 2023'!S2&gt;0),IF($C$5&lt;('SA Apr 2023'!R2+'SA Apr 2023'!P2),0,IF($C$5&lt;=('SA Apr 2023'!T2+'SA Apr 2023'!R2+'SA Apr 2023'!P2),(($C$5-('SA Apr 2023'!R2+'SA Apr 2023'!P2))*'SA Apr 2023'!S2/100),('SA Apr 2023'!T2*'SA Apr 2023'!S2/100))),0)</f>
        <v>0</v>
      </c>
      <c r="G8" s="50">
        <v>0</v>
      </c>
      <c r="H8" s="46">
        <f>IF(AND('SA Apr 2023'!R2&gt;0,'SA Apr 2023'!T2&gt;0),IF(($C$5&lt;'SA Apr 2023'!T2),(0),($C$5-'SA Apr 2023'!T2)*'SA Apr 2023'!U2/100),IF(AND('SA Apr 2023'!R2&gt;0,'SA Apr 2023'!T2=""),IF(($C$5&lt;'SA Apr 2023'!R2+'SA Apr 2023'!P2),(0),(($C$5-('SA Apr 2023'!R2+'SA Apr 2023'!P2))*'SA Apr 2023'!S2/100)),IF(AND('SA Apr 2023'!P2&gt;0,'SA Apr 2023'!R2=""&gt;0),IF(($C$5&lt;'SA Apr 2023'!P2),(0),($C$5-'SA Apr 2023'!P2)*'SA Apr 2023'!Q2/100),0)))</f>
        <v>0</v>
      </c>
      <c r="I8" s="52">
        <f>SUM(C8:H8)</f>
        <v>1806.4209999999996</v>
      </c>
      <c r="J8" s="109">
        <f>(I8-C8)*4</f>
        <v>6863.6363636363621</v>
      </c>
      <c r="K8" s="109">
        <f t="shared" ref="K8:K22" si="0">I8*4</f>
        <v>7225.6839999999984</v>
      </c>
      <c r="L8" s="53">
        <f>K8*1.1</f>
        <v>7948.2523999999985</v>
      </c>
      <c r="M8" s="54">
        <f>'SA Apr 2023'!BB2</f>
        <v>0</v>
      </c>
      <c r="N8" s="54">
        <f>'SA Apr 2023'!BC2</f>
        <v>0</v>
      </c>
      <c r="O8" s="54">
        <f>'SA Apr 2023'!BD2</f>
        <v>0</v>
      </c>
      <c r="P8" s="54">
        <f>'SA Apr 2023'!BE2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2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7225.6839999999984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7225.6839999999984</v>
      </c>
      <c r="U8" s="97">
        <f>S8*1.1</f>
        <v>7948.2523999999985</v>
      </c>
      <c r="V8" s="381">
        <f>T8*1.1</f>
        <v>7948.2523999999985</v>
      </c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</row>
    <row r="9" spans="1:42" ht="14" x14ac:dyDescent="0.15">
      <c r="A9" s="70" t="str">
        <f>'SA Apr 2023'!K3</f>
        <v>Alinta Energy</v>
      </c>
      <c r="B9" s="49" t="str">
        <f>'SA Apr 2023'!L3</f>
        <v>BusinessDeal</v>
      </c>
      <c r="C9" s="46">
        <f>IF('SA Apr 2023'!BP3=0,91*'SA Apr 2023'!M3/100,(91*'SA Apr 2023'!M3/100)+'SA Apr 2023'!BP3/4)</f>
        <v>84.646545454545446</v>
      </c>
      <c r="D9" s="46">
        <f>IF('SA Apr 2023'!O3="",$C$5*'SA Apr 2023'!N3/100,IF($C$5&gt;='SA Apr 2023'!P3,('SA Apr 2023'!P3*'SA Apr 2023'!N3/100),($C$5*'SA Apr 2023'!N3/100)))</f>
        <v>1706.8181818181818</v>
      </c>
      <c r="E9" s="46">
        <f>IF(AND('SA Apr 2023'!P3&gt;0,'SA Apr 2023'!R3&gt;0),IF($C$5&lt;'SA Apr 2023'!P3,0,IF($C$5&lt;=('SA Apr 2023'!R3+'SA Apr 2023'!P3),(($C$5-'SA Apr 2023'!P3)*'SA Apr 2023'!Q3/100),(('SA Apr 2023'!R3)*'SA Apr 2023'!Q3/100))),0)</f>
        <v>0</v>
      </c>
      <c r="F9" s="46">
        <f>IF(AND('SA Apr 2023'!Q3&gt;0,'SA Apr 2023'!S3&gt;0),IF($C$5&lt;('SA Apr 2023'!R3+'SA Apr 2023'!P3),0,IF($C$5&lt;=('SA Apr 2023'!T3+'SA Apr 2023'!R3+'SA Apr 2023'!P3),(($C$5-('SA Apr 2023'!R3+'SA Apr 2023'!P3))*'SA Apr 2023'!S3/100),('SA Apr 2023'!T3*'SA Apr 2023'!S3/100))),0)</f>
        <v>0</v>
      </c>
      <c r="G9" s="50">
        <v>0</v>
      </c>
      <c r="H9" s="46">
        <f>IF(AND('SA Apr 2023'!R3&gt;0,'SA Apr 2023'!T3&gt;0),IF(($C$5&lt;'SA Apr 2023'!T3),(0),($C$5-'SA Apr 2023'!T3)*'SA Apr 2023'!U3/100),IF(AND('SA Apr 2023'!R3&gt;0,'SA Apr 2023'!T3=""),IF(($C$5&lt;'SA Apr 2023'!R3+'SA Apr 2023'!P3),(0),(($C$5-('SA Apr 2023'!R3+'SA Apr 2023'!P3))*'SA Apr 2023'!S3/100)),IF(AND('SA Apr 2023'!P3&gt;0,'SA Apr 2023'!R3=""&gt;0),IF(($C$5&lt;'SA Apr 2023'!P3),(0),($C$5-'SA Apr 2023'!P3)*'SA Apr 2023'!Q3/100),0)))</f>
        <v>0</v>
      </c>
      <c r="I9" s="52">
        <f t="shared" ref="I9:I11" si="2">SUM(C9:H9)</f>
        <v>1791.4647272727273</v>
      </c>
      <c r="J9" s="109">
        <f t="shared" ref="J9:J22" si="3">(I9-C9)*4</f>
        <v>6827.272727272727</v>
      </c>
      <c r="K9" s="109">
        <f t="shared" si="0"/>
        <v>7165.858909090909</v>
      </c>
      <c r="L9" s="53">
        <f t="shared" ref="L9:L22" si="4">K9*1.1</f>
        <v>7882.4448000000002</v>
      </c>
      <c r="M9" s="54">
        <f>'SA Apr 2023'!BB3</f>
        <v>0</v>
      </c>
      <c r="N9" s="54">
        <f>'SA Apr 2023'!BC3</f>
        <v>0</v>
      </c>
      <c r="O9" s="54">
        <f>'SA Apr 2023'!BD3</f>
        <v>0</v>
      </c>
      <c r="P9" s="54">
        <f>'SA Apr 2023'!BE3</f>
        <v>0</v>
      </c>
      <c r="Q9" s="110" t="str">
        <f t="shared" ref="Q9:Q22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7165.858909090909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7165.858909090909</v>
      </c>
      <c r="U9" s="97">
        <f t="shared" ref="U9:V22" si="6">S9*1.1</f>
        <v>7882.4448000000002</v>
      </c>
      <c r="V9" s="381">
        <f t="shared" si="6"/>
        <v>7882.4448000000002</v>
      </c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</row>
    <row r="10" spans="1:42" ht="14" x14ac:dyDescent="0.15">
      <c r="A10" s="70" t="str">
        <f>'SA Apr 2023'!K4</f>
        <v>Diamond Energy</v>
      </c>
      <c r="B10" s="49" t="str">
        <f>'SA Apr 2023'!L4</f>
        <v xml:space="preserve">Renewable Saver </v>
      </c>
      <c r="C10" s="46">
        <f>IF('SA Apr 2023'!BP4=0,91*'SA Apr 2023'!M4/100,(91*'SA Apr 2023'!M4/100)+'SA Apr 2023'!BP4/4)</f>
        <v>84.629999999999981</v>
      </c>
      <c r="D10" s="46">
        <f>IF('SA Apr 2023'!O4="",$C$5*'SA Apr 2023'!N4/100,IF($C$5&gt;='SA Apr 2023'!P4,('SA Apr 2023'!P4*'SA Apr 2023'!N4/100),($C$5*'SA Apr 2023'!N4/100)))</f>
        <v>361.54545454545456</v>
      </c>
      <c r="E10" s="46">
        <f>IF(AND('SA Apr 2023'!P4&gt;0,'SA Apr 2023'!R4&gt;0),IF($C$5&lt;'SA Apr 2023'!P4,0,IF($C$5&lt;=('SA Apr 2023'!R4+'SA Apr 2023'!P4),(($C$5-'SA Apr 2023'!P4)*'SA Apr 2023'!Q4/100),(('SA Apr 2023'!R4)*'SA Apr 2023'!Q4/100))),0)</f>
        <v>0</v>
      </c>
      <c r="F10" s="46">
        <f>IF(AND('SA Apr 2023'!Q4&gt;0,'SA Apr 2023'!S4&gt;0),IF($C$5&lt;('SA Apr 2023'!R4+'SA Apr 2023'!P4),0,IF($C$5&lt;=('SA Apr 2023'!T4+'SA Apr 2023'!R4+'SA Apr 2023'!P4),(($C$5-('SA Apr 2023'!R4+'SA Apr 2023'!P4))*'SA Apr 2023'!S4/100),('SA Apr 2023'!T4*'SA Apr 2023'!S4/100))),0)</f>
        <v>0</v>
      </c>
      <c r="G10" s="50">
        <v>0</v>
      </c>
      <c r="H10" s="46">
        <f>IF(AND('SA Apr 2023'!R4&gt;0,'SA Apr 2023'!T4&gt;0),IF(($C$5&lt;'SA Apr 2023'!T4),(0),($C$5-'SA Apr 2023'!T4)*'SA Apr 2023'!U4/100),IF(AND('SA Apr 2023'!R4&gt;0,'SA Apr 2023'!T4=""),IF(($C$5&lt;'SA Apr 2023'!R4+'SA Apr 2023'!P4),(0),(($C$5-('SA Apr 2023'!R4+'SA Apr 2023'!P4))*'SA Apr 2023'!S4/100)),IF(AND('SA Apr 2023'!P4&gt;0,'SA Apr 2023'!R4=""&gt;0),IF(($C$5&lt;'SA Apr 2023'!P4),(0),($C$5-'SA Apr 2023'!P4)*'SA Apr 2023'!Q4/100),0)))</f>
        <v>1559.9999999999998</v>
      </c>
      <c r="I10" s="52">
        <f t="shared" si="2"/>
        <v>2006.1754545454544</v>
      </c>
      <c r="J10" s="109">
        <f t="shared" si="3"/>
        <v>7686.181818181818</v>
      </c>
      <c r="K10" s="109">
        <f t="shared" si="0"/>
        <v>8024.7018181818175</v>
      </c>
      <c r="L10" s="53">
        <f t="shared" si="4"/>
        <v>8827.1720000000005</v>
      </c>
      <c r="M10" s="54">
        <f>'SA Apr 2023'!BB4</f>
        <v>0</v>
      </c>
      <c r="N10" s="54">
        <f>'SA Apr 2023'!BC4</f>
        <v>0</v>
      </c>
      <c r="O10" s="54">
        <f>'SA Apr 2023'!BD4</f>
        <v>2</v>
      </c>
      <c r="P10" s="54">
        <f>'SA Apr 2023'!BE4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2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8024.7018181818175</v>
      </c>
      <c r="T10" s="112">
        <f t="shared" ref="T10:T19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7864.2077818181815</v>
      </c>
      <c r="U10" s="97">
        <f t="shared" si="6"/>
        <v>8827.1720000000005</v>
      </c>
      <c r="V10" s="381">
        <f t="shared" si="6"/>
        <v>8650.628560000001</v>
      </c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</row>
    <row r="11" spans="1:42" ht="14" x14ac:dyDescent="0.15">
      <c r="A11" s="70" t="str">
        <f>'SA Apr 2023'!K5</f>
        <v>EnergyAustralia</v>
      </c>
      <c r="B11" s="49" t="str">
        <f>'SA Apr 2023'!L5</f>
        <v>Balance Plan</v>
      </c>
      <c r="C11" s="46">
        <f>IF('SA Apr 2023'!BP5=0,91*'SA Apr 2023'!M5/100,(91*'SA Apr 2023'!M5/100)+'SA Apr 2023'!BP5/4)</f>
        <v>95.094999999999999</v>
      </c>
      <c r="D11" s="46">
        <f>IF('SA Apr 2023'!O5="",$C$5*'SA Apr 2023'!N5/100,IF($C$5&gt;='SA Apr 2023'!P5,('SA Apr 2023'!P5*'SA Apr 2023'!N5/100),($C$5*'SA Apr 2023'!N5/100)))</f>
        <v>1872.2727272727268</v>
      </c>
      <c r="E11" s="46">
        <f>IF(AND('SA Apr 2023'!P5&gt;0,'SA Apr 2023'!R5&gt;0),IF($C$5&lt;'SA Apr 2023'!P5,0,IF($C$5&lt;=('SA Apr 2023'!R5+'SA Apr 2023'!P5),(($C$5-'SA Apr 2023'!P5)*'SA Apr 2023'!Q5/100),(('SA Apr 2023'!R5)*'SA Apr 2023'!Q5/100))),0)</f>
        <v>0</v>
      </c>
      <c r="F11" s="46">
        <f>IF(AND('SA Apr 2023'!Q5&gt;0,'SA Apr 2023'!S5&gt;0),IF($C$5&lt;('SA Apr 2023'!R5+'SA Apr 2023'!P5),0,IF($C$5&lt;=('SA Apr 2023'!T5+'SA Apr 2023'!R5+'SA Apr 2023'!P5),(($C$5-('SA Apr 2023'!R5+'SA Apr 2023'!P5))*'SA Apr 2023'!S5/100),('SA Apr 2023'!T5*'SA Apr 2023'!S5/100))),0)</f>
        <v>0</v>
      </c>
      <c r="G11" s="50">
        <v>0</v>
      </c>
      <c r="H11" s="46">
        <f>IF(AND('SA Apr 2023'!R5&gt;0,'SA Apr 2023'!T5&gt;0),IF(($C$5&lt;'SA Apr 2023'!T5),(0),($C$5-'SA Apr 2023'!T5)*'SA Apr 2023'!U5/100),IF(AND('SA Apr 2023'!R5&gt;0,'SA Apr 2023'!T5=""),IF(($C$5&lt;'SA Apr 2023'!R5+'SA Apr 2023'!P5),(0),(($C$5-('SA Apr 2023'!R5+'SA Apr 2023'!P5))*'SA Apr 2023'!S5/100)),IF(AND('SA Apr 2023'!P5&gt;0,'SA Apr 2023'!R5=""&gt;0),IF(($C$5&lt;'SA Apr 2023'!P5),(0),($C$5-'SA Apr 2023'!P5)*'SA Apr 2023'!Q5/100),0)))</f>
        <v>0</v>
      </c>
      <c r="I11" s="52">
        <f t="shared" si="2"/>
        <v>1967.3677272727268</v>
      </c>
      <c r="J11" s="109">
        <f t="shared" si="3"/>
        <v>7489.0909090909072</v>
      </c>
      <c r="K11" s="109">
        <f t="shared" si="0"/>
        <v>7869.4709090909073</v>
      </c>
      <c r="L11" s="53">
        <f t="shared" si="4"/>
        <v>8656.4179999999978</v>
      </c>
      <c r="M11" s="54">
        <f>'SA Apr 2023'!BB5</f>
        <v>2</v>
      </c>
      <c r="N11" s="54">
        <f>'SA Apr 2023'!BC5</f>
        <v>0</v>
      </c>
      <c r="O11" s="54">
        <f>'SA Apr 2023'!BD5</f>
        <v>0</v>
      </c>
      <c r="P11" s="54">
        <f>'SA Apr 2023'!BE5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7712.0814909090896</v>
      </c>
      <c r="T11" s="112">
        <f t="shared" si="8"/>
        <v>7712.0814909090896</v>
      </c>
      <c r="U11" s="97">
        <f t="shared" si="6"/>
        <v>8483.2896399999991</v>
      </c>
      <c r="V11" s="381">
        <f t="shared" si="6"/>
        <v>8483.2896399999991</v>
      </c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0"/>
      <c r="AP11" s="290"/>
    </row>
    <row r="12" spans="1:42" ht="14" x14ac:dyDescent="0.15">
      <c r="A12" s="70" t="str">
        <f>'SA Apr 2023'!K6</f>
        <v>Lumo Energy</v>
      </c>
      <c r="B12" s="49" t="str">
        <f>'SA Apr 2023'!L6</f>
        <v>Basic</v>
      </c>
      <c r="C12" s="46">
        <f>IF('SA Apr 2023'!BP6=0,91*'SA Apr 2023'!M6/100,(91*'SA Apr 2023'!M6/100)+'SA Apr 2023'!BP6/4)</f>
        <v>118.3</v>
      </c>
      <c r="D12" s="46">
        <f>IF('SA Apr 2023'!O6="",$C$5*'SA Apr 2023'!N6/100,IF($C$5&gt;='SA Apr 2023'!P6,('SA Apr 2023'!P6*'SA Apr 2023'!N6/100),($C$5*'SA Apr 2023'!N6/100)))</f>
        <v>1817.7272727272727</v>
      </c>
      <c r="E12" s="46">
        <f>IF(AND('SA Apr 2023'!P6&gt;0,'SA Apr 2023'!R6&gt;0),IF($C$5&lt;'SA Apr 2023'!P6,0,IF($C$5&lt;=('SA Apr 2023'!R6+'SA Apr 2023'!P6),(($C$5-'SA Apr 2023'!P6)*'SA Apr 2023'!Q6/100),(('SA Apr 2023'!R6)*'SA Apr 2023'!Q6/100))),0)</f>
        <v>0</v>
      </c>
      <c r="F12" s="46">
        <f>IF(AND('SA Apr 2023'!Q6&gt;0,'SA Apr 2023'!S6&gt;0),IF($C$5&lt;('SA Apr 2023'!R6+'SA Apr 2023'!P6),0,IF($C$5&lt;=('SA Apr 2023'!T6+'SA Apr 2023'!R6+'SA Apr 2023'!P6),(($C$5-('SA Apr 2023'!R6+'SA Apr 2023'!P6))*'SA Apr 2023'!S6/100),('SA Apr 2023'!T6*'SA Apr 2023'!S6/100))),0)</f>
        <v>0</v>
      </c>
      <c r="G12" s="50">
        <v>1</v>
      </c>
      <c r="H12" s="46">
        <f>IF(AND('SA Apr 2023'!R6&gt;0,'SA Apr 2023'!T6&gt;0),IF(($C$5&lt;'SA Apr 2023'!T6),(0),($C$5-'SA Apr 2023'!T6)*'SA Apr 2023'!U6/100),IF(AND('SA Apr 2023'!R6&gt;0,'SA Apr 2023'!T6=""),IF(($C$5&lt;'SA Apr 2023'!R6+'SA Apr 2023'!P6),(0),(($C$5-('SA Apr 2023'!R6+'SA Apr 2023'!P6))*'SA Apr 2023'!S6/100)),IF(AND('SA Apr 2023'!P6&gt;0,'SA Apr 2023'!R6=""&gt;0),IF(($C$5&lt;'SA Apr 2023'!P6),(0),($C$5-'SA Apr 2023'!P6)*'SA Apr 2023'!Q6/100),0)))</f>
        <v>0</v>
      </c>
      <c r="I12" s="52">
        <f t="shared" ref="I12" si="9">SUM(C12:H12)</f>
        <v>1937.0272727272727</v>
      </c>
      <c r="J12" s="109">
        <f t="shared" si="3"/>
        <v>7274.909090909091</v>
      </c>
      <c r="K12" s="109">
        <f t="shared" si="0"/>
        <v>7748.1090909090908</v>
      </c>
      <c r="L12" s="53">
        <f t="shared" si="4"/>
        <v>8522.92</v>
      </c>
      <c r="M12" s="54">
        <f>'SA Apr 2023'!BB6</f>
        <v>0</v>
      </c>
      <c r="N12" s="54">
        <f>'SA Apr 2023'!BC6</f>
        <v>0</v>
      </c>
      <c r="O12" s="54">
        <f>'SA Apr 2023'!BD6</f>
        <v>0</v>
      </c>
      <c r="P12" s="54">
        <f>'SA Apr 2023'!BE6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7748.1090909090908</v>
      </c>
      <c r="T12" s="112">
        <f t="shared" si="8"/>
        <v>7748.1090909090908</v>
      </c>
      <c r="U12" s="97">
        <f t="shared" si="6"/>
        <v>8522.92</v>
      </c>
      <c r="V12" s="381">
        <f t="shared" si="6"/>
        <v>8522.92</v>
      </c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</row>
    <row r="13" spans="1:42" ht="14" x14ac:dyDescent="0.15">
      <c r="A13" s="70" t="str">
        <f>'SA Apr 2023'!K7</f>
        <v>Origin Energy</v>
      </c>
      <c r="B13" s="49" t="str">
        <f>'SA Apr 2023'!L7</f>
        <v>Go Variable</v>
      </c>
      <c r="C13" s="46">
        <f>IF('SA Apr 2023'!BP7=0,91*'SA Apr 2023'!M7/100,(91*'SA Apr 2023'!M7/100)+'SA Apr 2023'!BP7/4)</f>
        <v>78.673636363636348</v>
      </c>
      <c r="D13" s="46">
        <f>IF('SA Apr 2023'!O7="",$C$5*'SA Apr 2023'!N7/100,IF($C$5&gt;='SA Apr 2023'!P7,('SA Apr 2023'!P7*'SA Apr 2023'!N7/100),($C$5*'SA Apr 2023'!N7/100)))</f>
        <v>1719.090909090909</v>
      </c>
      <c r="E13" s="46">
        <f>IF(AND('SA Apr 2023'!P7&gt;0,'SA Apr 2023'!R7&gt;0),IF($C$5&lt;'SA Apr 2023'!P7,0,IF($C$5&lt;=('SA Apr 2023'!R7+'SA Apr 2023'!P7),(($C$5-'SA Apr 2023'!P7)*'SA Apr 2023'!Q7/100),(('SA Apr 2023'!R7)*'SA Apr 2023'!Q7/100))),0)</f>
        <v>0</v>
      </c>
      <c r="F13" s="46">
        <f>IF(AND('SA Apr 2023'!Q7&gt;0,'SA Apr 2023'!S7&gt;0),IF($C$5&lt;('SA Apr 2023'!R7+'SA Apr 2023'!P7),0,IF($C$5&lt;=('SA Apr 2023'!T7+'SA Apr 2023'!R7+'SA Apr 2023'!P7),(($C$5-('SA Apr 2023'!R7+'SA Apr 2023'!P7))*'SA Apr 2023'!S7/100),('SA Apr 2023'!T7*'SA Apr 2023'!S7/100))),0)</f>
        <v>0</v>
      </c>
      <c r="G13" s="50">
        <v>0</v>
      </c>
      <c r="H13" s="46">
        <f>IF(AND('SA Apr 2023'!R7&gt;0,'SA Apr 2023'!T7&gt;0),IF(($C$5&lt;'SA Apr 2023'!T7),(0),($C$5-'SA Apr 2023'!T7)*'SA Apr 2023'!U7/100),IF(AND('SA Apr 2023'!R7&gt;0,'SA Apr 2023'!T7=""),IF(($C$5&lt;'SA Apr 2023'!R7+'SA Apr 2023'!P7),(0),(($C$5-('SA Apr 2023'!R7+'SA Apr 2023'!P7))*'SA Apr 2023'!S7/100)),IF(AND('SA Apr 2023'!P7&gt;0,'SA Apr 2023'!R7=""&gt;0),IF(($C$5&lt;'SA Apr 2023'!P7),(0),($C$5-'SA Apr 2023'!P7)*'SA Apr 2023'!Q7/100),0)))</f>
        <v>0</v>
      </c>
      <c r="I13" s="52">
        <f t="shared" ref="I13:I17" si="10">SUM(C13:H13)</f>
        <v>1797.7645454545454</v>
      </c>
      <c r="J13" s="109">
        <f t="shared" si="3"/>
        <v>6876.363636363636</v>
      </c>
      <c r="K13" s="109">
        <f t="shared" si="0"/>
        <v>7191.0581818181818</v>
      </c>
      <c r="L13" s="53">
        <f t="shared" si="4"/>
        <v>7910.1640000000007</v>
      </c>
      <c r="M13" s="54">
        <f>'SA Apr 2023'!BB7</f>
        <v>0</v>
      </c>
      <c r="N13" s="54">
        <f>'SA Apr 2023'!BC7</f>
        <v>0</v>
      </c>
      <c r="O13" s="54">
        <f>'SA Apr 2023'!BD7</f>
        <v>0</v>
      </c>
      <c r="P13" s="54">
        <f>'SA Apr 2023'!BE7</f>
        <v>0</v>
      </c>
      <c r="Q13" s="110" t="str">
        <f t="shared" si="5"/>
        <v>No discount</v>
      </c>
      <c r="R13" s="73" t="str">
        <f t="shared" si="1"/>
        <v>Inclusive</v>
      </c>
      <c r="S13" s="111">
        <f t="shared" si="7"/>
        <v>7191.0581818181818</v>
      </c>
      <c r="T13" s="112">
        <f t="shared" si="8"/>
        <v>7191.0581818181818</v>
      </c>
      <c r="U13" s="97">
        <f t="shared" si="6"/>
        <v>7910.1640000000007</v>
      </c>
      <c r="V13" s="381">
        <f t="shared" si="6"/>
        <v>7910.1640000000007</v>
      </c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</row>
    <row r="14" spans="1:42" ht="14" x14ac:dyDescent="0.15">
      <c r="A14" s="70" t="str">
        <f>'SA Apr 2023'!K8</f>
        <v>Red Energy</v>
      </c>
      <c r="B14" s="49" t="str">
        <f>'SA Apr 2023'!L8</f>
        <v>Red Business Saver</v>
      </c>
      <c r="C14" s="46">
        <f>IF('SA Apr 2023'!BP8=0,91*'SA Apr 2023'!M8/100,(91*'SA Apr 2023'!M8/100)+'SA Apr 2023'!BP8/4)</f>
        <v>118.3</v>
      </c>
      <c r="D14" s="46">
        <f>IF('SA Apr 2023'!O8="",$C$5*'SA Apr 2023'!N8/100,IF($C$5&gt;='SA Apr 2023'!P8,('SA Apr 2023'!P8*'SA Apr 2023'!N8/100),($C$5*'SA Apr 2023'!N8/100)))</f>
        <v>1817.7272727272727</v>
      </c>
      <c r="E14" s="46">
        <f>IF(AND('SA Apr 2023'!P8&gt;0,'SA Apr 2023'!R8&gt;0),IF($C$5&lt;'SA Apr 2023'!P8,0,IF($C$5&lt;=('SA Apr 2023'!R8+'SA Apr 2023'!P8),(($C$5-'SA Apr 2023'!P8)*'SA Apr 2023'!Q8/100),(('SA Apr 2023'!R8)*'SA Apr 2023'!Q8/100))),0)</f>
        <v>0</v>
      </c>
      <c r="F14" s="46">
        <f>IF(AND('SA Apr 2023'!Q8&gt;0,'SA Apr 2023'!S8&gt;0),IF($C$5&lt;('SA Apr 2023'!R8+'SA Apr 2023'!P8),0,IF($C$5&lt;=('SA Apr 2023'!T8+'SA Apr 2023'!R8+'SA Apr 2023'!P8),(($C$5-('SA Apr 2023'!R8+'SA Apr 2023'!P8))*'SA Apr 2023'!S8/100),('SA Apr 2023'!T8*'SA Apr 2023'!S8/100))),0)</f>
        <v>0</v>
      </c>
      <c r="G14" s="50">
        <v>0</v>
      </c>
      <c r="H14" s="46">
        <f>IF(AND('SA Apr 2023'!R8&gt;0,'SA Apr 2023'!T8&gt;0),IF(($C$5&lt;'SA Apr 2023'!T8),(0),($C$5-'SA Apr 2023'!T8)*'SA Apr 2023'!U8/100),IF(AND('SA Apr 2023'!R8&gt;0,'SA Apr 2023'!T8=""),IF(($C$5&lt;'SA Apr 2023'!R8+'SA Apr 2023'!P8),(0),(($C$5-('SA Apr 2023'!R8+'SA Apr 2023'!P8))*'SA Apr 2023'!S8/100)),IF(AND('SA Apr 2023'!P8&gt;0,'SA Apr 2023'!R8=""&gt;0),IF(($C$5&lt;'SA Apr 2023'!P8),(0),($C$5-'SA Apr 2023'!P8)*'SA Apr 2023'!Q8/100),0)))</f>
        <v>0</v>
      </c>
      <c r="I14" s="52">
        <f t="shared" si="10"/>
        <v>1936.0272727272727</v>
      </c>
      <c r="J14" s="109">
        <f t="shared" si="3"/>
        <v>7270.909090909091</v>
      </c>
      <c r="K14" s="109">
        <f t="shared" si="0"/>
        <v>7744.1090909090908</v>
      </c>
      <c r="L14" s="53">
        <f t="shared" si="4"/>
        <v>8518.52</v>
      </c>
      <c r="M14" s="54">
        <f>'SA Apr 2023'!BB8</f>
        <v>0</v>
      </c>
      <c r="N14" s="54">
        <f>'SA Apr 2023'!BC8</f>
        <v>0</v>
      </c>
      <c r="O14" s="54">
        <f>'SA Apr 2023'!BD8</f>
        <v>0</v>
      </c>
      <c r="P14" s="54">
        <f>'SA Apr 2023'!BE8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7744.1090909090908</v>
      </c>
      <c r="T14" s="112">
        <f t="shared" si="8"/>
        <v>7744.1090909090908</v>
      </c>
      <c r="U14" s="97">
        <f t="shared" si="6"/>
        <v>8518.52</v>
      </c>
      <c r="V14" s="381">
        <f t="shared" si="6"/>
        <v>8518.52</v>
      </c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</row>
    <row r="15" spans="1:42" ht="14" x14ac:dyDescent="0.15">
      <c r="A15" s="70" t="str">
        <f>'SA Apr 2023'!K9</f>
        <v>Simply Energy</v>
      </c>
      <c r="B15" s="49" t="str">
        <f>'SA Apr 2023'!L9</f>
        <v>Business Saver</v>
      </c>
      <c r="C15" s="46">
        <f>IF('SA Apr 2023'!BP9=0,91*'SA Apr 2023'!M9/100,(91*'SA Apr 2023'!M9/100)+'SA Apr 2023'!BP9/4)</f>
        <v>93.274999999999977</v>
      </c>
      <c r="D15" s="46">
        <f>IF('SA Apr 2023'!O9="",$C$5*'SA Apr 2023'!N9/100,IF($C$5&gt;='SA Apr 2023'!P9,('SA Apr 2023'!P9*'SA Apr 2023'!N9/100),($C$5*'SA Apr 2023'!N9/100)))</f>
        <v>1433.9449090909091</v>
      </c>
      <c r="E15" s="46">
        <f>IF(AND('SA Apr 2023'!P9&gt;0,'SA Apr 2023'!R9&gt;0),IF($C$5&lt;'SA Apr 2023'!P9,0,IF($C$5&lt;=('SA Apr 2023'!R9+'SA Apr 2023'!P9),(($C$5-'SA Apr 2023'!P9)*'SA Apr 2023'!Q9/100),(('SA Apr 2023'!R9)*'SA Apr 2023'!Q9/100))),0)</f>
        <v>0</v>
      </c>
      <c r="F15" s="46">
        <f>IF(AND('SA Apr 2023'!Q9&gt;0,'SA Apr 2023'!S9&gt;0),IF($C$5&lt;('SA Apr 2023'!R9+'SA Apr 2023'!P9),0,IF($C$5&lt;=('SA Apr 2023'!T9+'SA Apr 2023'!R9+'SA Apr 2023'!P9),(($C$5-('SA Apr 2023'!R9+'SA Apr 2023'!P9))*'SA Apr 2023'!S9/100),('SA Apr 2023'!T9*'SA Apr 2023'!S9/100))),0)</f>
        <v>0</v>
      </c>
      <c r="G15" s="50">
        <v>0</v>
      </c>
      <c r="H15" s="46">
        <f>IF(AND('SA Apr 2023'!R9&gt;0,'SA Apr 2023'!T9&gt;0),IF(($C$5&lt;'SA Apr 2023'!T9),(0),($C$5-'SA Apr 2023'!T9)*'SA Apr 2023'!U9/100),IF(AND('SA Apr 2023'!R9&gt;0,'SA Apr 2023'!T9=""),IF(($C$5&lt;'SA Apr 2023'!R9+'SA Apr 2023'!P9),(0),(($C$5-('SA Apr 2023'!R9+'SA Apr 2023'!P9))*'SA Apr 2023'!S9/100)),IF(AND('SA Apr 2023'!P9&gt;0,'SA Apr 2023'!R9=""&gt;0),IF(($C$5&lt;'SA Apr 2023'!P9),(0),($C$5-'SA Apr 2023'!P9)*'SA Apr 2023'!Q9/100),0)))</f>
        <v>459.63418181818184</v>
      </c>
      <c r="I15" s="52">
        <f t="shared" si="10"/>
        <v>1986.8540909090907</v>
      </c>
      <c r="J15" s="109">
        <f t="shared" si="3"/>
        <v>7574.3163636363624</v>
      </c>
      <c r="K15" s="109">
        <f t="shared" si="0"/>
        <v>7947.4163636363628</v>
      </c>
      <c r="L15" s="53">
        <f t="shared" si="4"/>
        <v>8742.1579999999994</v>
      </c>
      <c r="M15" s="54">
        <f>'SA Apr 2023'!BB9</f>
        <v>6</v>
      </c>
      <c r="N15" s="54">
        <f>'SA Apr 2023'!BC9</f>
        <v>0</v>
      </c>
      <c r="O15" s="54">
        <f>'SA Apr 2023'!BD9</f>
        <v>0</v>
      </c>
      <c r="P15" s="54">
        <f>'SA Apr 2023'!BE9</f>
        <v>0</v>
      </c>
      <c r="Q15" s="110" t="str">
        <f t="shared" si="5"/>
        <v>Guaranteed off bill</v>
      </c>
      <c r="R15" s="73" t="str">
        <f t="shared" si="1"/>
        <v>Exclusive</v>
      </c>
      <c r="S15" s="111">
        <f t="shared" si="7"/>
        <v>7470.5713818181812</v>
      </c>
      <c r="T15" s="112">
        <f t="shared" si="8"/>
        <v>7470.5713818181812</v>
      </c>
      <c r="U15" s="97">
        <f t="shared" si="6"/>
        <v>8217.6285200000002</v>
      </c>
      <c r="V15" s="381">
        <f t="shared" si="6"/>
        <v>8217.6285200000002</v>
      </c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290"/>
    </row>
    <row r="16" spans="1:42" ht="14" x14ac:dyDescent="0.15">
      <c r="A16" s="70" t="str">
        <f>'SA Apr 2023'!K10</f>
        <v>Powershop</v>
      </c>
      <c r="B16" s="49" t="str">
        <f>'SA Apr 2023'!L10</f>
        <v>100% Carbon Neutral</v>
      </c>
      <c r="C16" s="46">
        <f>IF('SA Apr 2023'!BP10=0,91*'SA Apr 2023'!M10/100,(91*'SA Apr 2023'!M10/100)+'SA Apr 2023'!BP10/4)</f>
        <v>126.14254545454543</v>
      </c>
      <c r="D16" s="46">
        <f>IF('SA Apr 2023'!O10="",$C$5*'SA Apr 2023'!N10/100,IF($C$5&gt;='SA Apr 2023'!P10,('SA Apr 2023'!P10*'SA Apr 2023'!N10/100),($C$5*'SA Apr 2023'!N10/100)))</f>
        <v>1862.7272727272727</v>
      </c>
      <c r="E16" s="46">
        <f>IF(AND('SA Apr 2023'!P10&gt;0,'SA Apr 2023'!R10&gt;0),IF($C$5&lt;'SA Apr 2023'!P10,0,IF($C$5&lt;=('SA Apr 2023'!R10+'SA Apr 2023'!P10),(($C$5-'SA Apr 2023'!P10)*'SA Apr 2023'!Q10/100),(('SA Apr 2023'!R10)*'SA Apr 2023'!Q10/100))),0)</f>
        <v>0</v>
      </c>
      <c r="F16" s="46">
        <f>IF(AND('SA Apr 2023'!Q10&gt;0,'SA Apr 2023'!S10&gt;0),IF($C$5&lt;('SA Apr 2023'!R10+'SA Apr 2023'!P10),0,IF($C$5&lt;=('SA Apr 2023'!T10+'SA Apr 2023'!R10+'SA Apr 2023'!P10),(($C$5-('SA Apr 2023'!R10+'SA Apr 2023'!P10))*'SA Apr 2023'!S10/100),('SA Apr 2023'!T10*'SA Apr 2023'!S10/100))),0)</f>
        <v>0</v>
      </c>
      <c r="G16" s="50">
        <v>0</v>
      </c>
      <c r="H16" s="46">
        <f>IF(AND('SA Apr 2023'!R10&gt;0,'SA Apr 2023'!T10&gt;0),IF(($C$5&lt;'SA Apr 2023'!T10),(0),($C$5-'SA Apr 2023'!T10)*'SA Apr 2023'!U10/100),IF(AND('SA Apr 2023'!R10&gt;0,'SA Apr 2023'!T10=""),IF(($C$5&lt;'SA Apr 2023'!R10+'SA Apr 2023'!P10),(0),(($C$5-('SA Apr 2023'!R10+'SA Apr 2023'!P10))*'SA Apr 2023'!S10/100)),IF(AND('SA Apr 2023'!P10&gt;0,'SA Apr 2023'!R10=""&gt;0),IF(($C$5&lt;'SA Apr 2023'!P10),(0),($C$5-'SA Apr 2023'!P10)*'SA Apr 2023'!Q10/100),0)))</f>
        <v>0</v>
      </c>
      <c r="I16" s="52">
        <f t="shared" si="10"/>
        <v>1988.8698181818181</v>
      </c>
      <c r="J16" s="109">
        <f t="shared" si="3"/>
        <v>7450.909090909091</v>
      </c>
      <c r="K16" s="109">
        <f t="shared" si="0"/>
        <v>7955.4792727272725</v>
      </c>
      <c r="L16" s="53">
        <f t="shared" si="4"/>
        <v>8751.0272000000004</v>
      </c>
      <c r="M16" s="54">
        <f>'SA Apr 2023'!BB10</f>
        <v>0</v>
      </c>
      <c r="N16" s="54">
        <f>'SA Apr 2023'!BC10</f>
        <v>0</v>
      </c>
      <c r="O16" s="54">
        <f>'SA Apr 2023'!BD10</f>
        <v>0</v>
      </c>
      <c r="P16" s="54">
        <f>'SA Apr 2023'!BE10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7955.4792727272725</v>
      </c>
      <c r="T16" s="112">
        <f t="shared" si="8"/>
        <v>7955.4792727272725</v>
      </c>
      <c r="U16" s="97">
        <f t="shared" si="6"/>
        <v>8751.0272000000004</v>
      </c>
      <c r="V16" s="381">
        <f t="shared" si="6"/>
        <v>8751.0272000000004</v>
      </c>
      <c r="W16" s="290"/>
      <c r="X16" s="290"/>
      <c r="Y16" s="290"/>
      <c r="Z16" s="290"/>
      <c r="AA16" s="290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  <c r="AN16" s="290"/>
      <c r="AO16" s="290"/>
      <c r="AP16" s="290"/>
    </row>
    <row r="17" spans="1:42" ht="14" x14ac:dyDescent="0.15">
      <c r="A17" s="70" t="str">
        <f>'SA Apr 2023'!K11</f>
        <v>Energy Locals</v>
      </c>
      <c r="B17" s="49" t="str">
        <f>'SA Apr 2023'!L11</f>
        <v>Business Member</v>
      </c>
      <c r="C17" s="46">
        <f>IF('SA Apr 2023'!BP11=0,91*'SA Apr 2023'!M11/100,(91*'SA Apr 2023'!M11/100)+'SA Apr 2023'!BP11/4)</f>
        <v>107.07727272727271</v>
      </c>
      <c r="D17" s="46">
        <f>IF('SA Apr 2023'!O11="",$C$5*'SA Apr 2023'!N11/100,IF($C$5&gt;='SA Apr 2023'!P11,('SA Apr 2023'!P11*'SA Apr 2023'!N11/100),($C$5*'SA Apr 2023'!N11/100)))</f>
        <v>1636.3636363636365</v>
      </c>
      <c r="E17" s="46">
        <f>IF(AND('SA Apr 2023'!P11&gt;0,'SA Apr 2023'!R11&gt;0),IF($C$5&lt;'SA Apr 2023'!P11,0,IF($C$5&lt;=('SA Apr 2023'!R11+'SA Apr 2023'!P11),(($C$5-'SA Apr 2023'!P11)*'SA Apr 2023'!Q11/100),(('SA Apr 2023'!R11)*'SA Apr 2023'!Q11/100))),0)</f>
        <v>0</v>
      </c>
      <c r="F17" s="46">
        <f>IF(AND('SA Apr 2023'!Q11&gt;0,'SA Apr 2023'!S11&gt;0),IF($C$5&lt;('SA Apr 2023'!R11+'SA Apr 2023'!P11),0,IF($C$5&lt;=('SA Apr 2023'!T11+'SA Apr 2023'!R11+'SA Apr 2023'!P11),(($C$5-('SA Apr 2023'!R11+'SA Apr 2023'!P11))*'SA Apr 2023'!S11/100),('SA Apr 2023'!T11*'SA Apr 2023'!S11/100))),0)</f>
        <v>0</v>
      </c>
      <c r="G17" s="50">
        <v>0</v>
      </c>
      <c r="H17" s="46">
        <f>IF(AND('SA Apr 2023'!R11&gt;0,'SA Apr 2023'!T11&gt;0),IF(($C$5&lt;'SA Apr 2023'!T11),(0),($C$5-'SA Apr 2023'!T11)*'SA Apr 2023'!U11/100),IF(AND('SA Apr 2023'!R11&gt;0,'SA Apr 2023'!T11=""),IF(($C$5&lt;'SA Apr 2023'!R11+'SA Apr 2023'!P11),(0),(($C$5-('SA Apr 2023'!R11+'SA Apr 2023'!P11))*'SA Apr 2023'!S11/100)),IF(AND('SA Apr 2023'!P11&gt;0,'SA Apr 2023'!R11=""&gt;0),IF(($C$5&lt;'SA Apr 2023'!P11),(0),($C$5-'SA Apr 2023'!P11)*'SA Apr 2023'!Q11/100),0)))</f>
        <v>0</v>
      </c>
      <c r="I17" s="52">
        <f t="shared" si="10"/>
        <v>1743.4409090909091</v>
      </c>
      <c r="J17" s="109">
        <f t="shared" si="3"/>
        <v>6545.454545454546</v>
      </c>
      <c r="K17" s="109">
        <f t="shared" si="0"/>
        <v>6973.7636363636366</v>
      </c>
      <c r="L17" s="53">
        <f t="shared" si="4"/>
        <v>7671.1400000000012</v>
      </c>
      <c r="M17" s="54">
        <f>'SA Apr 2023'!BB11</f>
        <v>0</v>
      </c>
      <c r="N17" s="54">
        <f>'SA Apr 2023'!BC11</f>
        <v>0</v>
      </c>
      <c r="O17" s="54">
        <f>'SA Apr 2023'!BD11</f>
        <v>0</v>
      </c>
      <c r="P17" s="54">
        <f>'SA Apr 2023'!BE11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6973.7636363636366</v>
      </c>
      <c r="T17" s="112">
        <f t="shared" si="8"/>
        <v>6973.7636363636366</v>
      </c>
      <c r="U17" s="97">
        <f t="shared" si="6"/>
        <v>7671.1400000000012</v>
      </c>
      <c r="V17" s="381">
        <f t="shared" si="6"/>
        <v>7671.1400000000012</v>
      </c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</row>
    <row r="18" spans="1:42" ht="14" x14ac:dyDescent="0.15">
      <c r="A18" s="70" t="str">
        <f>'SA Apr 2023'!K12</f>
        <v>ReAmped Energy</v>
      </c>
      <c r="B18" s="73" t="str">
        <f>'SA Apr 2023'!L12</f>
        <v>Business</v>
      </c>
      <c r="C18" s="46">
        <f>IF('SA Apr 2023'!BP12=0,91*'SA Apr 2023'!M12/100,(91*'SA Apr 2023'!M12/100)+'SA Apr 2023'!BP12/4)</f>
        <v>125.91918181818183</v>
      </c>
      <c r="D18" s="46">
        <f>IF('SA Apr 2023'!O12="",$C$5*'SA Apr 2023'!N12/100,IF($C$5&gt;='SA Apr 2023'!P12,('SA Apr 2023'!P12*'SA Apr 2023'!N12/100),($C$5*'SA Apr 2023'!N12/100)))</f>
        <v>2025.909090909091</v>
      </c>
      <c r="E18" s="46">
        <f>IF(AND('SA Apr 2023'!P12&gt;0,'SA Apr 2023'!R12&gt;0),IF($C$5&lt;'SA Apr 2023'!P12,0,IF($C$5&lt;=('SA Apr 2023'!R12+'SA Apr 2023'!P12),(($C$5-'SA Apr 2023'!P12)*'SA Apr 2023'!Q12/100),(('SA Apr 2023'!R12)*'SA Apr 2023'!Q12/100))),0)</f>
        <v>0</v>
      </c>
      <c r="F18" s="46">
        <f>IF(AND('SA Apr 2023'!Q12&gt;0,'SA Apr 2023'!S12&gt;0),IF($C$5&lt;('SA Apr 2023'!R12+'SA Apr 2023'!P12),0,IF($C$5&lt;=('SA Apr 2023'!T12+'SA Apr 2023'!R12+'SA Apr 2023'!P12),(($C$5-('SA Apr 2023'!R12+'SA Apr 2023'!P12))*'SA Apr 2023'!S12/100),('SA Apr 2023'!T12*'SA Apr 2023'!S12/100))),0)</f>
        <v>0</v>
      </c>
      <c r="G18" s="50">
        <v>0</v>
      </c>
      <c r="H18" s="46">
        <f>IF(AND('SA Apr 2023'!R12&gt;0,'SA Apr 2023'!T12&gt;0),IF(($C$5&lt;'SA Apr 2023'!T12),(0),($C$5-'SA Apr 2023'!T12)*'SA Apr 2023'!U12/100),IF(AND('SA Apr 2023'!R12&gt;0,'SA Apr 2023'!T12=""),IF(($C$5&lt;'SA Apr 2023'!R12+'SA Apr 2023'!P12),(0),(($C$5-('SA Apr 2023'!R12+'SA Apr 2023'!P12))*'SA Apr 2023'!S12/100)),IF(AND('SA Apr 2023'!P12&gt;0,'SA Apr 2023'!R12=""&gt;0),IF(($C$5&lt;'SA Apr 2023'!P12),(0),($C$5-'SA Apr 2023'!P12)*'SA Apr 2023'!Q12/100),0)))</f>
        <v>0</v>
      </c>
      <c r="I18" s="52">
        <f t="shared" ref="I18" si="11">SUM(C18:H18)</f>
        <v>2151.8282727272726</v>
      </c>
      <c r="J18" s="111">
        <f t="shared" si="3"/>
        <v>8103.6363636363631</v>
      </c>
      <c r="K18" s="112">
        <f t="shared" si="0"/>
        <v>8607.3130909090905</v>
      </c>
      <c r="L18" s="53">
        <f t="shared" si="4"/>
        <v>9468.0444000000007</v>
      </c>
      <c r="M18" s="54">
        <f>'SA Apr 2023'!BB12</f>
        <v>0</v>
      </c>
      <c r="N18" s="54">
        <f>'SA Apr 2023'!BC12</f>
        <v>0</v>
      </c>
      <c r="O18" s="54">
        <f>'SA Apr 2023'!BD12</f>
        <v>0</v>
      </c>
      <c r="P18" s="54">
        <f>'SA Apr 2023'!BE12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8607.3130909090905</v>
      </c>
      <c r="T18" s="112">
        <f t="shared" si="8"/>
        <v>8607.3130909090905</v>
      </c>
      <c r="U18" s="97">
        <f t="shared" si="6"/>
        <v>9468.0444000000007</v>
      </c>
      <c r="V18" s="381">
        <f t="shared" si="6"/>
        <v>9468.0444000000007</v>
      </c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</row>
    <row r="19" spans="1:42" ht="14" x14ac:dyDescent="0.15">
      <c r="A19" s="70" t="str">
        <f>'SA Apr 2023'!K13</f>
        <v>CovaU</v>
      </c>
      <c r="B19" s="73" t="str">
        <f>'SA Apr 2023'!L13</f>
        <v>Freedom</v>
      </c>
      <c r="C19" s="46">
        <f>IF('SA Apr 2023'!BP13=0,91*'SA Apr 2023'!M13/100,(91*'SA Apr 2023'!M13/100)+'SA Apr 2023'!BP13/4)</f>
        <v>93.324636363636358</v>
      </c>
      <c r="D19" s="46">
        <f>IF('SA Apr 2023'!O13="",$C$5*'SA Apr 2023'!N13/100,IF($C$5&gt;='SA Apr 2023'!P13,('SA Apr 2023'!P13*'SA Apr 2023'!N13/100),($C$5*'SA Apr 2023'!N13/100)))</f>
        <v>2040</v>
      </c>
      <c r="E19" s="46">
        <f>IF(AND('SA Apr 2023'!P13&gt;0,'SA Apr 2023'!R13&gt;0),IF($C$5&lt;'SA Apr 2023'!P13,0,IF($C$5&lt;=('SA Apr 2023'!R13+'SA Apr 2023'!P13),(($C$5-'SA Apr 2023'!P13)*'SA Apr 2023'!Q13/100),(('SA Apr 2023'!R13)*'SA Apr 2023'!Q13/100))),0)</f>
        <v>0</v>
      </c>
      <c r="F19" s="46">
        <f>IF(AND('SA Apr 2023'!Q13&gt;0,'SA Apr 2023'!S13&gt;0),IF($C$5&lt;('SA Apr 2023'!R13+'SA Apr 2023'!P13),0,IF($C$5&lt;=('SA Apr 2023'!T13+'SA Apr 2023'!R13+'SA Apr 2023'!P13),(($C$5-('SA Apr 2023'!R13+'SA Apr 2023'!P13))*'SA Apr 2023'!S13/100),('SA Apr 2023'!T13*'SA Apr 2023'!S13/100))),0)</f>
        <v>0</v>
      </c>
      <c r="G19" s="50">
        <v>0</v>
      </c>
      <c r="H19" s="46">
        <f>IF(AND('SA Apr 2023'!R13&gt;0,'SA Apr 2023'!T13&gt;0),IF(($C$5&lt;'SA Apr 2023'!T13),(0),($C$5-'SA Apr 2023'!T13)*'SA Apr 2023'!U13/100),IF(AND('SA Apr 2023'!R13&gt;0,'SA Apr 2023'!T13=""),IF(($C$5&lt;'SA Apr 2023'!R13+'SA Apr 2023'!P13),(0),(($C$5-('SA Apr 2023'!R13+'SA Apr 2023'!P13))*'SA Apr 2023'!S13/100)),IF(AND('SA Apr 2023'!P13&gt;0,'SA Apr 2023'!R13=""&gt;0),IF(($C$5&lt;'SA Apr 2023'!P13),(0),($C$5-'SA Apr 2023'!P13)*'SA Apr 2023'!Q13/100),0)))</f>
        <v>0</v>
      </c>
      <c r="I19" s="52">
        <f t="shared" ref="I19" si="12">SUM(C19:H19)</f>
        <v>2133.3246363636363</v>
      </c>
      <c r="J19" s="111">
        <f t="shared" si="3"/>
        <v>8160</v>
      </c>
      <c r="K19" s="112">
        <f t="shared" si="0"/>
        <v>8533.2985454545451</v>
      </c>
      <c r="L19" s="53">
        <f t="shared" si="4"/>
        <v>9386.6283999999996</v>
      </c>
      <c r="M19" s="54">
        <f>'SA Apr 2023'!BB13</f>
        <v>0</v>
      </c>
      <c r="N19" s="54">
        <f>'SA Apr 2023'!BC13</f>
        <v>0</v>
      </c>
      <c r="O19" s="54">
        <f>'SA Apr 2023'!BD13</f>
        <v>0</v>
      </c>
      <c r="P19" s="54">
        <f>'SA Apr 2023'!BE13</f>
        <v>0</v>
      </c>
      <c r="Q19" s="110" t="str">
        <f t="shared" si="5"/>
        <v>No discount</v>
      </c>
      <c r="R19" s="73" t="str">
        <f t="shared" si="1"/>
        <v>Exclusive</v>
      </c>
      <c r="S19" s="111">
        <f t="shared" si="7"/>
        <v>8533.2985454545451</v>
      </c>
      <c r="T19" s="112">
        <f t="shared" si="8"/>
        <v>8533.2985454545451</v>
      </c>
      <c r="U19" s="97">
        <f t="shared" si="6"/>
        <v>9386.6283999999996</v>
      </c>
      <c r="V19" s="381">
        <f t="shared" si="6"/>
        <v>9386.6283999999996</v>
      </c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290"/>
      <c r="AO19" s="290"/>
      <c r="AP19" s="290"/>
    </row>
    <row r="20" spans="1:42" ht="14" x14ac:dyDescent="0.15">
      <c r="A20" s="70" t="str">
        <f>'SA Apr 2023'!K14</f>
        <v>Sumo Power</v>
      </c>
      <c r="B20" s="73" t="str">
        <f>'SA Apr 2023'!L14</f>
        <v>Lite</v>
      </c>
      <c r="C20" s="46">
        <f>IF('SA Apr 2023'!BP14=0,91*'SA Apr 2023'!M14/100,(91*'SA Apr 2023'!M14/100)+'SA Apr 2023'!BP14/4)</f>
        <v>127.4</v>
      </c>
      <c r="D20" s="46">
        <f>IF('SA Apr 2023'!O14="",$C$5*'SA Apr 2023'!N14/100,IF($C$5&gt;='SA Apr 2023'!P14,('SA Apr 2023'!P14*'SA Apr 2023'!N14/100),($C$5*'SA Apr 2023'!N14/100)))</f>
        <v>1807.727272727273</v>
      </c>
      <c r="E20" s="46">
        <f>IF(AND('SA Apr 2023'!P14&gt;0,'SA Apr 2023'!R14&gt;0),IF($C$5&lt;'SA Apr 2023'!P14,0,IF($C$5&lt;=('SA Apr 2023'!R14+'SA Apr 2023'!P14),(($C$5-'SA Apr 2023'!P14)*'SA Apr 2023'!Q14/100),(('SA Apr 2023'!R14)*'SA Apr 2023'!Q14/100))),0)</f>
        <v>0</v>
      </c>
      <c r="F20" s="46">
        <f>IF(AND('SA Apr 2023'!Q14&gt;0,'SA Apr 2023'!S14&gt;0),IF($C$5&lt;('SA Apr 2023'!R14+'SA Apr 2023'!P14),0,IF($C$5&lt;=('SA Apr 2023'!T14+'SA Apr 2023'!R14+'SA Apr 2023'!P14),(($C$5-('SA Apr 2023'!R14+'SA Apr 2023'!P14))*'SA Apr 2023'!S14/100),('SA Apr 2023'!T14*'SA Apr 2023'!S14/100))),0)</f>
        <v>0</v>
      </c>
      <c r="G20" s="50">
        <v>0</v>
      </c>
      <c r="H20" s="46">
        <f>IF(AND('SA Apr 2023'!R14&gt;0,'SA Apr 2023'!T14&gt;0),IF(($C$5&lt;'SA Apr 2023'!T14),(0),($C$5-'SA Apr 2023'!T14)*'SA Apr 2023'!U14/100),IF(AND('SA Apr 2023'!R14&gt;0,'SA Apr 2023'!T14=""),IF(($C$5&lt;'SA Apr 2023'!R14+'SA Apr 2023'!P14),(0),(($C$5-('SA Apr 2023'!R14+'SA Apr 2023'!P14))*'SA Apr 2023'!S14/100)),IF(AND('SA Apr 2023'!P14&gt;0,'SA Apr 2023'!R14=""&gt;0),IF(($C$5&lt;'SA Apr 2023'!P14),(0),($C$5-'SA Apr 2023'!P14)*'SA Apr 2023'!Q14/100),0)))</f>
        <v>0</v>
      </c>
      <c r="I20" s="52">
        <f t="shared" ref="I20:I21" si="13">SUM(C20:H20)</f>
        <v>1935.1272727272731</v>
      </c>
      <c r="J20" s="111">
        <f t="shared" si="3"/>
        <v>7230.9090909090919</v>
      </c>
      <c r="K20" s="112">
        <f t="shared" si="0"/>
        <v>7740.5090909090923</v>
      </c>
      <c r="L20" s="53">
        <f t="shared" si="4"/>
        <v>8514.5600000000013</v>
      </c>
      <c r="M20" s="54">
        <f>'SA Apr 2023'!BB14</f>
        <v>0</v>
      </c>
      <c r="N20" s="54">
        <f>'SA Apr 2023'!BC14</f>
        <v>0</v>
      </c>
      <c r="O20" s="54">
        <f>'SA Apr 2023'!BD14</f>
        <v>0</v>
      </c>
      <c r="P20" s="54">
        <f>'SA Apr 2023'!BE14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7740.5090909090923</v>
      </c>
      <c r="T20" s="112">
        <f t="shared" ref="T20:T22" si="14">S20-(S20*O20/100)</f>
        <v>7740.5090909090923</v>
      </c>
      <c r="U20" s="97">
        <f t="shared" si="6"/>
        <v>8514.5600000000013</v>
      </c>
      <c r="V20" s="381">
        <f t="shared" si="6"/>
        <v>8514.5600000000013</v>
      </c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</row>
    <row r="21" spans="1:42" ht="14" x14ac:dyDescent="0.15">
      <c r="A21" s="70" t="str">
        <f>'SA Apr 2023'!K15</f>
        <v>Amber Electric</v>
      </c>
      <c r="B21" s="73" t="str">
        <f>'SA Apr 2023'!L15</f>
        <v>Small Business</v>
      </c>
      <c r="C21" s="46">
        <f>IF('SA Apr 2023'!BP15=0,91*'SA Apr 2023'!M15/100,(91*'SA Apr 2023'!M15/100)+'SA Apr 2023'!BP15/4)</f>
        <v>144.26854545454546</v>
      </c>
      <c r="D21" s="46">
        <f>IF('SA Apr 2023'!O15="",$C$5*'SA Apr 2023'!N15/100,IF($C$5&gt;='SA Apr 2023'!P15,('SA Apr 2023'!P15*'SA Apr 2023'!N15/100),($C$5*'SA Apr 2023'!N15/100)))</f>
        <v>976.41090909090894</v>
      </c>
      <c r="E21" s="46">
        <f>IF(AND('SA Apr 2023'!P15&gt;0,'SA Apr 2023'!R15&gt;0),IF($C$5&lt;'SA Apr 2023'!P15,0,IF($C$5&lt;=('SA Apr 2023'!R15+'SA Apr 2023'!P15),(($C$5-'SA Apr 2023'!P15)*'SA Apr 2023'!Q15/100),(('SA Apr 2023'!R15)*'SA Apr 2023'!Q15/100))),0)</f>
        <v>0</v>
      </c>
      <c r="F21" s="46">
        <f>IF(AND('SA Apr 2023'!Q15&gt;0,'SA Apr 2023'!S15&gt;0),IF($C$5&lt;('SA Apr 2023'!R15+'SA Apr 2023'!P15),0,IF($C$5&lt;=('SA Apr 2023'!T15+'SA Apr 2023'!R15+'SA Apr 2023'!P15),(($C$5-('SA Apr 2023'!R15+'SA Apr 2023'!P15))*'SA Apr 2023'!S15/100),('SA Apr 2023'!T15*'SA Apr 2023'!S15/100))),0)</f>
        <v>0</v>
      </c>
      <c r="G21" s="50">
        <v>0</v>
      </c>
      <c r="H21" s="46">
        <f>IF(AND('SA Apr 2023'!R15&gt;0,'SA Apr 2023'!T15&gt;0),IF(($C$5&lt;'SA Apr 2023'!T15),(0),($C$5-'SA Apr 2023'!T15)*'SA Apr 2023'!U15/100),IF(AND('SA Apr 2023'!R15&gt;0,'SA Apr 2023'!T15=""),IF(($C$5&lt;'SA Apr 2023'!R15+'SA Apr 2023'!P15),(0),(($C$5-('SA Apr 2023'!R15+'SA Apr 2023'!P15))*'SA Apr 2023'!S15/100)),IF(AND('SA Apr 2023'!P15&gt;0,'SA Apr 2023'!R15=""&gt;0),IF(($C$5&lt;'SA Apr 2023'!P15),(0),($C$5-'SA Apr 2023'!P15)*'SA Apr 2023'!Q15/100),0)))</f>
        <v>1158.2399999999998</v>
      </c>
      <c r="I21" s="52">
        <f t="shared" si="13"/>
        <v>2278.9194545454543</v>
      </c>
      <c r="J21" s="111">
        <f t="shared" si="3"/>
        <v>8538.6036363636358</v>
      </c>
      <c r="K21" s="112">
        <f t="shared" si="0"/>
        <v>9115.6778181818172</v>
      </c>
      <c r="L21" s="53">
        <f t="shared" si="4"/>
        <v>10027.2456</v>
      </c>
      <c r="M21" s="54">
        <f>'SA Apr 2023'!BB15</f>
        <v>0</v>
      </c>
      <c r="N21" s="54">
        <f>'SA Apr 2023'!BC15</f>
        <v>0</v>
      </c>
      <c r="O21" s="54">
        <f>'SA Apr 2023'!BD15</f>
        <v>0</v>
      </c>
      <c r="P21" s="54">
        <f>'SA Apr 2023'!BE15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9115.6778181818172</v>
      </c>
      <c r="T21" s="112">
        <f t="shared" si="14"/>
        <v>9115.6778181818172</v>
      </c>
      <c r="U21" s="97">
        <f t="shared" si="6"/>
        <v>10027.2456</v>
      </c>
      <c r="V21" s="381">
        <f t="shared" si="6"/>
        <v>10027.2456</v>
      </c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</row>
    <row r="22" spans="1:42" ht="14" x14ac:dyDescent="0.15">
      <c r="A22" s="70" t="str">
        <f>'SA Apr 2023'!K16</f>
        <v>Circular Energy</v>
      </c>
      <c r="B22" s="73" t="str">
        <f>'SA Apr 2023'!L16</f>
        <v>Zero Member Fee Business</v>
      </c>
      <c r="C22" s="46">
        <f>IF('SA Apr 2023'!BP16=0,91*'SA Apr 2023'!M16/100,(91*'SA Apr 2023'!M16/100)+'SA Apr 2023'!BP16/4)</f>
        <v>124.3390909090909</v>
      </c>
      <c r="D22" s="46">
        <f>IF('SA Apr 2023'!O16="",$C$5*'SA Apr 2023'!N16/100,IF($C$5&gt;='SA Apr 2023'!P16,('SA Apr 2023'!P16*'SA Apr 2023'!N16/100),($C$5*'SA Apr 2023'!N16/100)))</f>
        <v>1772.7272727272727</v>
      </c>
      <c r="E22" s="46">
        <f>IF(AND('SA Apr 2023'!P16&gt;0,'SA Apr 2023'!R16&gt;0),IF($C$5&lt;'SA Apr 2023'!P16,0,IF($C$5&lt;=('SA Apr 2023'!R16+'SA Apr 2023'!P16),(($C$5-'SA Apr 2023'!P16)*'SA Apr 2023'!Q16/100),(('SA Apr 2023'!R16)*'SA Apr 2023'!Q16/100))),0)</f>
        <v>0</v>
      </c>
      <c r="F22" s="46">
        <f>IF(AND('SA Apr 2023'!Q16&gt;0,'SA Apr 2023'!S16&gt;0),IF($C$5&lt;('SA Apr 2023'!R16+'SA Apr 2023'!P16),0,IF($C$5&lt;=('SA Apr 2023'!T16+'SA Apr 2023'!R16+'SA Apr 2023'!P16),(($C$5-('SA Apr 2023'!R16+'SA Apr 2023'!P16))*'SA Apr 2023'!S16/100),('SA Apr 2023'!T16*'SA Apr 2023'!S16/100))),0)</f>
        <v>0</v>
      </c>
      <c r="G22" s="50">
        <v>1</v>
      </c>
      <c r="H22" s="46">
        <f>IF(AND('SA Apr 2023'!R16&gt;0,'SA Apr 2023'!T16&gt;0),IF(($C$5&lt;'SA Apr 2023'!T16),(0),($C$5-'SA Apr 2023'!T16)*'SA Apr 2023'!U16/100),IF(AND('SA Apr 2023'!R16&gt;0,'SA Apr 2023'!T16=""),IF(($C$5&lt;'SA Apr 2023'!R16+'SA Apr 2023'!P16),(0),(($C$5-('SA Apr 2023'!R16+'SA Apr 2023'!P16))*'SA Apr 2023'!S16/100)),IF(AND('SA Apr 2023'!P16&gt;0,'SA Apr 2023'!R16=""&gt;0),IF(($C$5&lt;'SA Apr 2023'!P16),(0),($C$5-'SA Apr 2023'!P16)*'SA Apr 2023'!Q16/100),0)))</f>
        <v>0</v>
      </c>
      <c r="I22" s="52">
        <f t="shared" ref="I22" si="15">SUM(C22:H22)</f>
        <v>1898.0663636363636</v>
      </c>
      <c r="J22" s="111">
        <f t="shared" si="3"/>
        <v>7094.909090909091</v>
      </c>
      <c r="K22" s="112">
        <f t="shared" si="0"/>
        <v>7592.2654545454543</v>
      </c>
      <c r="L22" s="53">
        <f t="shared" si="4"/>
        <v>8351.4920000000002</v>
      </c>
      <c r="M22" s="54">
        <f>'SA Apr 2023'!BB16</f>
        <v>0</v>
      </c>
      <c r="N22" s="54">
        <f>'SA Apr 2023'!BC16</f>
        <v>0</v>
      </c>
      <c r="O22" s="54">
        <f>'SA Apr 2023'!BD16</f>
        <v>0</v>
      </c>
      <c r="P22" s="54">
        <f>'SA Apr 2023'!BE16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7592.2654545454543</v>
      </c>
      <c r="T22" s="112">
        <f t="shared" si="14"/>
        <v>7592.2654545454543</v>
      </c>
      <c r="U22" s="97">
        <f t="shared" si="6"/>
        <v>8351.4920000000002</v>
      </c>
      <c r="V22" s="381">
        <f t="shared" si="6"/>
        <v>8351.4920000000002</v>
      </c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</row>
    <row r="23" spans="1:42" ht="14" x14ac:dyDescent="0.15">
      <c r="A23" s="70" t="str">
        <f>'SA Apr 2023'!K17</f>
        <v>Momentum Energy</v>
      </c>
      <c r="B23" s="73" t="str">
        <f>'SA Apr 2023'!L17</f>
        <v>Thrifty Business</v>
      </c>
      <c r="C23" s="46">
        <f>IF('SA Apr 2023'!BP17=0,91*'SA Apr 2023'!M17/100,(91*'SA Apr 2023'!M17/100)+'SA Apr 2023'!BP17/4)</f>
        <v>115.56999999999998</v>
      </c>
      <c r="D23" s="46">
        <f>IF('SA Apr 2023'!O17="",$C$5*'SA Apr 2023'!N17/100,IF($C$5&gt;='SA Apr 2023'!P17,('SA Apr 2023'!P17*'SA Apr 2023'!N17/100),($C$5*'SA Apr 2023'!N17/100)))</f>
        <v>1634.9999999999998</v>
      </c>
      <c r="E23" s="46">
        <f>IF(AND('SA Apr 2023'!P17&gt;0,'SA Apr 2023'!R17&gt;0),IF($C$5&lt;'SA Apr 2023'!P17,0,IF($C$5&lt;=('SA Apr 2023'!R17+'SA Apr 2023'!P17),(($C$5-'SA Apr 2023'!P17)*'SA Apr 2023'!Q17/100),(('SA Apr 2023'!R17)*'SA Apr 2023'!Q17/100))),0)</f>
        <v>0</v>
      </c>
      <c r="F23" s="46">
        <f>IF(AND('SA Apr 2023'!Q17&gt;0,'SA Apr 2023'!S17&gt;0),IF($C$5&lt;('SA Apr 2023'!R17+'SA Apr 2023'!P17),0,IF($C$5&lt;=('SA Apr 2023'!T17+'SA Apr 2023'!R17+'SA Apr 2023'!P17),(($C$5-('SA Apr 2023'!R17+'SA Apr 2023'!P17))*'SA Apr 2023'!S17/100),('SA Apr 2023'!T17*'SA Apr 2023'!S17/100))),0)</f>
        <v>0</v>
      </c>
      <c r="G23" s="50">
        <v>2</v>
      </c>
      <c r="H23" s="46">
        <f>IF(AND('SA Apr 2023'!R17&gt;0,'SA Apr 2023'!T17&gt;0),IF(($C$5&lt;'SA Apr 2023'!T17),(0),($C$5-'SA Apr 2023'!T17)*'SA Apr 2023'!U17/100),IF(AND('SA Apr 2023'!R17&gt;0,'SA Apr 2023'!T17=""),IF(($C$5&lt;'SA Apr 2023'!R17+'SA Apr 2023'!P17),(0),(($C$5-('SA Apr 2023'!R17+'SA Apr 2023'!P17))*'SA Apr 2023'!S17/100)),IF(AND('SA Apr 2023'!P17&gt;0,'SA Apr 2023'!R17=""&gt;0),IF(($C$5&lt;'SA Apr 2023'!P17),(0),($C$5-'SA Apr 2023'!P17)*'SA Apr 2023'!Q17/100),0)))</f>
        <v>0</v>
      </c>
      <c r="I23" s="52">
        <f t="shared" ref="I23:I24" si="16">SUM(C23:H23)</f>
        <v>1752.5699999999997</v>
      </c>
      <c r="J23" s="111">
        <f t="shared" ref="J23:J24" si="17">(I23-C23)*4</f>
        <v>6547.9999999999991</v>
      </c>
      <c r="K23" s="112">
        <f t="shared" ref="K23:K24" si="18">I23*4</f>
        <v>7010.2799999999988</v>
      </c>
      <c r="L23" s="53">
        <f t="shared" ref="L23:L24" si="19">K23*1.1</f>
        <v>7711.3079999999991</v>
      </c>
      <c r="M23" s="54">
        <f>'SA Apr 2023'!BB17</f>
        <v>0</v>
      </c>
      <c r="N23" s="54">
        <f>'SA Apr 2023'!BC17</f>
        <v>0</v>
      </c>
      <c r="O23" s="54">
        <f>'SA Apr 2023'!BD17</f>
        <v>0</v>
      </c>
      <c r="P23" s="54">
        <f>'SA Apr 2023'!BE17</f>
        <v>0</v>
      </c>
      <c r="Q23" s="110" t="str">
        <f t="shared" ref="Q23:Q24" si="20">IF(SUM(M23:P23)=0,"No discount",IF(M23&gt;0,"Guaranteed off bill",IF(N23&gt;0,"Guaranteed off usage",IF(O23&gt;0,"Pay-on-time off bill","Pay-on-time off usage"))))</f>
        <v>No discount</v>
      </c>
      <c r="R23" s="73" t="str">
        <f t="shared" ref="R23:R24" si="21">IF(OR(A23="Origin Energy",A23="Red Energy",A23="Powershop"),"Inclusive","Exclusive")</f>
        <v>Exclusive</v>
      </c>
      <c r="S23" s="111">
        <f t="shared" ref="S23:S24" si="22">IF(AND(Q23="Guaranteed off bill",R23="Inclusive"),((K23*1.1)-((K23*1.1)*M23/100))/1.1,IF(AND(Q23="Guaranteed off usage",R23="Inclusive"),((K23*1.1)-((J23*1.1)*N23/100))/1.1,IF(AND(Q23="Guaranteed off bill",R23="Exclusive"),K23-(K23*M23/100),IF(AND(Q23="Guaranteed off usage",R23="Exclusive"),K23-(J23*N23/100),IF(R23="Inclusive",((K23*1.1))/1.1,K23)))))</f>
        <v>7010.2799999999988</v>
      </c>
      <c r="T23" s="112">
        <f t="shared" ref="T23:T24" si="23">S23-(S23*O23/100)</f>
        <v>7010.2799999999988</v>
      </c>
      <c r="U23" s="97">
        <f t="shared" ref="U23:U24" si="24">S23*1.1</f>
        <v>7711.3079999999991</v>
      </c>
      <c r="V23" s="381">
        <f t="shared" ref="V23:V24" si="25">T23*1.1</f>
        <v>7711.3079999999991</v>
      </c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</row>
    <row r="24" spans="1:42" ht="15" thickBot="1" x14ac:dyDescent="0.2">
      <c r="A24" s="71" t="str">
        <f>'SA Apr 2023'!K18</f>
        <v>Next Business Energy</v>
      </c>
      <c r="B24" s="72" t="str">
        <f>'SA Apr 2023'!L18</f>
        <v xml:space="preserve">Assured </v>
      </c>
      <c r="C24" s="58">
        <f>IF('SA Apr 2023'!BP18=0,91*'SA Apr 2023'!M18/100,(91*'SA Apr 2023'!M18/100)+'SA Apr 2023'!BP18/4)</f>
        <v>85.076727272727283</v>
      </c>
      <c r="D24" s="58">
        <f>IF('SA Apr 2023'!O18="",$C$5*'SA Apr 2023'!N18/100,IF($C$5&gt;='SA Apr 2023'!P18,('SA Apr 2023'!P18*'SA Apr 2023'!N18/100),($C$5*'SA Apr 2023'!N18/100)))</f>
        <v>1800.4545454545453</v>
      </c>
      <c r="E24" s="58">
        <f>IF(AND('SA Apr 2023'!P18&gt;0,'SA Apr 2023'!R18&gt;0),IF($C$5&lt;'SA Apr 2023'!P18,0,IF($C$5&lt;=('SA Apr 2023'!R18+'SA Apr 2023'!P18),(($C$5-'SA Apr 2023'!P18)*'SA Apr 2023'!Q18/100),(('SA Apr 2023'!R18)*'SA Apr 2023'!Q18/100))),0)</f>
        <v>0</v>
      </c>
      <c r="F24" s="58">
        <f>IF(AND('SA Apr 2023'!Q18&gt;0,'SA Apr 2023'!S18&gt;0),IF($C$5&lt;('SA Apr 2023'!R18+'SA Apr 2023'!P18),0,IF($C$5&lt;=('SA Apr 2023'!T18+'SA Apr 2023'!R18+'SA Apr 2023'!P18),(($C$5-('SA Apr 2023'!R18+'SA Apr 2023'!P18))*'SA Apr 2023'!S18/100),('SA Apr 2023'!T18*'SA Apr 2023'!S18/100))),0)</f>
        <v>0</v>
      </c>
      <c r="G24" s="59">
        <v>3</v>
      </c>
      <c r="H24" s="58">
        <f>IF(AND('SA Apr 2023'!R18&gt;0,'SA Apr 2023'!T18&gt;0),IF(($C$5&lt;'SA Apr 2023'!T18),(0),($C$5-'SA Apr 2023'!T18)*'SA Apr 2023'!U18/100),IF(AND('SA Apr 2023'!R18&gt;0,'SA Apr 2023'!T18=""),IF(($C$5&lt;'SA Apr 2023'!R18+'SA Apr 2023'!P18),(0),(($C$5-('SA Apr 2023'!R18+'SA Apr 2023'!P18))*'SA Apr 2023'!S18/100)),IF(AND('SA Apr 2023'!P18&gt;0,'SA Apr 2023'!R18=""&gt;0),IF(($C$5&lt;'SA Apr 2023'!P18),(0),($C$5-'SA Apr 2023'!P18)*'SA Apr 2023'!Q18/100),0)))</f>
        <v>0</v>
      </c>
      <c r="I24" s="61">
        <f t="shared" si="16"/>
        <v>1888.5312727272726</v>
      </c>
      <c r="J24" s="113">
        <f t="shared" si="17"/>
        <v>7213.8181818181811</v>
      </c>
      <c r="K24" s="114">
        <f t="shared" si="18"/>
        <v>7554.1250909090904</v>
      </c>
      <c r="L24" s="62">
        <f t="shared" si="19"/>
        <v>8309.5375999999997</v>
      </c>
      <c r="M24" s="63">
        <f>'SA Apr 2023'!BB18</f>
        <v>0</v>
      </c>
      <c r="N24" s="63">
        <f>'SA Apr 2023'!BC18</f>
        <v>0</v>
      </c>
      <c r="O24" s="63">
        <f>'SA Apr 2023'!BD18</f>
        <v>0</v>
      </c>
      <c r="P24" s="63">
        <f>'SA Apr 2023'!BE18</f>
        <v>0</v>
      </c>
      <c r="Q24" s="115" t="str">
        <f t="shared" si="20"/>
        <v>No discount</v>
      </c>
      <c r="R24" s="72" t="str">
        <f t="shared" si="21"/>
        <v>Exclusive</v>
      </c>
      <c r="S24" s="113">
        <f t="shared" si="22"/>
        <v>7554.1250909090904</v>
      </c>
      <c r="T24" s="114">
        <f t="shared" si="23"/>
        <v>7554.1250909090904</v>
      </c>
      <c r="U24" s="99">
        <f t="shared" si="24"/>
        <v>8309.5375999999997</v>
      </c>
      <c r="V24" s="382">
        <f t="shared" si="25"/>
        <v>8309.5375999999997</v>
      </c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</row>
    <row r="25" spans="1:42" ht="14" x14ac:dyDescent="0.15">
      <c r="A25" s="290"/>
      <c r="B25" s="290"/>
      <c r="C25" s="290"/>
      <c r="D25" s="293"/>
      <c r="E25" s="293"/>
      <c r="F25" s="293"/>
      <c r="G25" s="293"/>
      <c r="H25" s="293"/>
      <c r="I25" s="294"/>
      <c r="J25" s="294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</row>
    <row r="26" spans="1:42" ht="15" thickBot="1" x14ac:dyDescent="0.2">
      <c r="A26" s="290"/>
      <c r="B26" s="290"/>
      <c r="C26" s="290"/>
      <c r="D26" s="290"/>
      <c r="E26" s="290"/>
      <c r="F26" s="290"/>
      <c r="G26" s="293"/>
      <c r="H26" s="293"/>
      <c r="I26" s="294"/>
      <c r="J26" s="294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  <c r="AA26" s="290"/>
      <c r="AB26" s="290"/>
      <c r="AC26" s="290"/>
      <c r="AD26" s="290"/>
      <c r="AE26" s="290"/>
      <c r="AF26" s="290"/>
      <c r="AG26" s="290"/>
      <c r="AH26" s="290"/>
      <c r="AI26" s="290"/>
      <c r="AJ26" s="290"/>
      <c r="AK26" s="290"/>
      <c r="AL26" s="290"/>
      <c r="AM26" s="290"/>
      <c r="AN26" s="290"/>
      <c r="AO26" s="290"/>
      <c r="AP26" s="290"/>
    </row>
    <row r="27" spans="1:42" ht="14" x14ac:dyDescent="0.15">
      <c r="A27" s="36" t="s">
        <v>84</v>
      </c>
      <c r="B27" s="37"/>
      <c r="C27" s="37"/>
      <c r="D27" s="42"/>
      <c r="E27" s="42"/>
      <c r="F27" s="42"/>
      <c r="G27" s="42"/>
      <c r="H27" s="42"/>
      <c r="I27" s="43"/>
      <c r="J27" s="43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9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  <c r="AI27" s="290"/>
      <c r="AJ27" s="290"/>
      <c r="AK27" s="290"/>
      <c r="AL27" s="290"/>
      <c r="AM27" s="290"/>
      <c r="AN27" s="290"/>
      <c r="AO27" s="290"/>
      <c r="AP27" s="290"/>
    </row>
    <row r="28" spans="1:42" ht="14" x14ac:dyDescent="0.15">
      <c r="A28" s="40" t="s">
        <v>197</v>
      </c>
      <c r="B28" s="38"/>
      <c r="C28" s="47">
        <v>5000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41"/>
      <c r="W28" s="290"/>
      <c r="X28" s="290"/>
      <c r="Y28" s="290"/>
      <c r="Z28" s="290"/>
      <c r="AA28" s="290"/>
      <c r="AB28" s="290"/>
      <c r="AC28" s="290"/>
      <c r="AD28" s="290"/>
      <c r="AE28" s="290"/>
      <c r="AF28" s="290"/>
      <c r="AG28" s="290"/>
      <c r="AH28" s="290"/>
      <c r="AI28" s="290"/>
      <c r="AJ28" s="290"/>
      <c r="AK28" s="290"/>
      <c r="AL28" s="290"/>
      <c r="AM28" s="290"/>
      <c r="AN28" s="290"/>
      <c r="AO28" s="290"/>
      <c r="AP28" s="290"/>
    </row>
    <row r="29" spans="1:42" ht="14" x14ac:dyDescent="0.15">
      <c r="A29" s="40" t="s">
        <v>85</v>
      </c>
      <c r="B29" s="38"/>
      <c r="C29" s="48">
        <v>0.7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41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0"/>
      <c r="AO29" s="290"/>
      <c r="AP29" s="290"/>
    </row>
    <row r="30" spans="1:42" ht="14" x14ac:dyDescent="0.15">
      <c r="A30" s="40" t="s">
        <v>171</v>
      </c>
      <c r="B30" s="38"/>
      <c r="C30" s="48">
        <v>0.3</v>
      </c>
      <c r="D30" s="44"/>
      <c r="E30" s="44"/>
      <c r="F30" s="44"/>
      <c r="G30" s="44"/>
      <c r="H30" s="44"/>
      <c r="I30" s="45"/>
      <c r="J30" s="45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41"/>
      <c r="W30" s="290"/>
      <c r="X30" s="290"/>
      <c r="Y30" s="290"/>
      <c r="Z30" s="290"/>
      <c r="AA30" s="290"/>
      <c r="AB30" s="290"/>
      <c r="AC30" s="290"/>
      <c r="AD30" s="290"/>
      <c r="AE30" s="290"/>
      <c r="AF30" s="290"/>
      <c r="AG30" s="290"/>
      <c r="AH30" s="290"/>
      <c r="AI30" s="290"/>
      <c r="AJ30" s="290"/>
      <c r="AK30" s="290"/>
      <c r="AL30" s="290"/>
      <c r="AM30" s="290"/>
      <c r="AN30" s="290"/>
      <c r="AO30" s="290"/>
      <c r="AP30" s="290"/>
    </row>
    <row r="31" spans="1:42" ht="14" x14ac:dyDescent="0.15">
      <c r="A31" s="40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88"/>
      <c r="S31" s="88"/>
      <c r="T31" s="88"/>
      <c r="U31" s="88"/>
      <c r="V31" s="41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290"/>
    </row>
    <row r="32" spans="1:42" ht="75" x14ac:dyDescent="0.15">
      <c r="A32" s="317" t="s">
        <v>216</v>
      </c>
      <c r="B32" s="272" t="s">
        <v>198</v>
      </c>
      <c r="C32" s="274" t="s">
        <v>199</v>
      </c>
      <c r="D32" s="274" t="s">
        <v>200</v>
      </c>
      <c r="E32" s="274" t="s">
        <v>201</v>
      </c>
      <c r="F32" s="274" t="s">
        <v>164</v>
      </c>
      <c r="G32" s="274" t="s">
        <v>84</v>
      </c>
      <c r="H32" s="274" t="s">
        <v>233</v>
      </c>
      <c r="I32" s="274" t="s">
        <v>165</v>
      </c>
      <c r="J32" s="275" t="s">
        <v>544</v>
      </c>
      <c r="K32" s="276" t="s">
        <v>166</v>
      </c>
      <c r="L32" s="277" t="s">
        <v>545</v>
      </c>
      <c r="M32" s="278" t="s">
        <v>167</v>
      </c>
      <c r="N32" s="278" t="s">
        <v>168</v>
      </c>
      <c r="O32" s="278" t="s">
        <v>169</v>
      </c>
      <c r="P32" s="278" t="s">
        <v>170</v>
      </c>
      <c r="Q32" s="279" t="s">
        <v>541</v>
      </c>
      <c r="R32" s="279" t="s">
        <v>542</v>
      </c>
      <c r="S32" s="280" t="s">
        <v>546</v>
      </c>
      <c r="T32" s="280" t="s">
        <v>547</v>
      </c>
      <c r="U32" s="281" t="s">
        <v>227</v>
      </c>
      <c r="V32" s="380" t="s">
        <v>272</v>
      </c>
      <c r="W32" s="290"/>
      <c r="X32" s="290"/>
      <c r="Y32" s="290"/>
      <c r="Z32" s="290"/>
      <c r="AA32" s="290"/>
      <c r="AB32" s="290"/>
      <c r="AC32" s="290"/>
      <c r="AD32" s="290"/>
      <c r="AE32" s="290"/>
      <c r="AF32" s="290"/>
      <c r="AG32" s="290"/>
      <c r="AH32" s="290"/>
      <c r="AI32" s="290"/>
      <c r="AJ32" s="290"/>
      <c r="AK32" s="290"/>
      <c r="AL32" s="290"/>
      <c r="AM32" s="290"/>
      <c r="AN32" s="290"/>
      <c r="AO32" s="290"/>
      <c r="AP32" s="290"/>
    </row>
    <row r="33" spans="1:42" ht="14" x14ac:dyDescent="0.15">
      <c r="A33" s="70" t="str">
        <f>'SA Apr 2023'!K19</f>
        <v>AGL</v>
      </c>
      <c r="B33" s="49" t="str">
        <f>'SA Apr 2023'!L19</f>
        <v>Business Value Saver</v>
      </c>
      <c r="C33" s="46">
        <f>IF('SA Apr 2023'!BP19=0,91*'SA Apr 2023'!M19/100,(91*'SA Apr 2023'!M19/100)+'SA Apr 2023'!BP19/4)</f>
        <v>90.511909090909086</v>
      </c>
      <c r="D33" s="46">
        <f>IF('SA Apr 2023'!O19="",$C$28*$C$29*'SA Apr 2023'!N19/100,IF($C$28*$C$29&gt;='SA Apr 2023'!P19,('SA Apr 2023'!P19*'SA Apr 2023'!N19/100),($C$28*$C$29*'SA Apr 2023'!N19/100)))</f>
        <v>1201.1363636363633</v>
      </c>
      <c r="E33" s="46">
        <f>IF(AND('SA Apr 2023'!P19&gt;0,'SA Apr 2023'!R19&gt;0),IF($C$28*$C$29&lt;'SA Apr 2023'!P19,0,IF($C$28*$C$29&lt;=('SA Apr 2023'!R19+'SA Apr 2023'!P19),(($C$28*$C$29-'SA Apr 2023'!P19)*'SA Apr 2023'!Q19/100),(('SA Apr 2023'!R19)*'SA Apr 2023'!Q19/100))),0)</f>
        <v>0</v>
      </c>
      <c r="F33" s="46">
        <f>IF(AND('SA Apr 2023'!R19&gt;0,'SA Apr 2023'!T19&gt;0),IF(($C$28*$C$29&lt;'SA Apr 2023'!T19),(0),($C$28*$C$29-'SA Apr 2023'!T19)*'SA Apr 2023'!U19/100),IF(AND('SA Apr 2023'!R19&gt;0,'SA Apr 2023'!T19=""),IF(($C$28*$C$29&lt;'SA Apr 2023'!R19+'SA Apr 2023'!P19),(0),(($C$28*$C$29-('SA Apr 2023'!R19+'SA Apr 2023'!P19))*'SA Apr 2023'!S19/100)),IF(AND('SA Apr 2023'!P19&gt;0,'SA Apr 2023'!R19=""&gt;0),IF(($C$28*$C$29&lt;'SA Apr 2023'!P19),(0),($C$28*$C$29-'SA Apr 2023'!P19)*'SA Apr 2023'!Q19/100),0)))</f>
        <v>0</v>
      </c>
      <c r="G33" s="50">
        <f>($C$28*$C$30)*'SA Apr 2023'!AF19/100</f>
        <v>252</v>
      </c>
      <c r="H33" s="51">
        <v>0</v>
      </c>
      <c r="I33" s="52">
        <f t="shared" ref="I33:I46" si="26">SUM(C33:G33)</f>
        <v>1543.6482727272723</v>
      </c>
      <c r="J33" s="109">
        <f>(I33-C33)*4</f>
        <v>5812.5454545454531</v>
      </c>
      <c r="K33" s="109">
        <f t="shared" ref="K33:K46" si="27">I33*4</f>
        <v>6174.5930909090894</v>
      </c>
      <c r="L33" s="53">
        <f t="shared" ref="L33:L46" si="28">K33*1.1</f>
        <v>6792.0523999999987</v>
      </c>
      <c r="M33" s="54">
        <f>'SA Apr 2023'!BB19</f>
        <v>0</v>
      </c>
      <c r="N33" s="54">
        <f>'SA Apr 2023'!BC19</f>
        <v>0</v>
      </c>
      <c r="O33" s="54">
        <f>'SA Apr 2023'!BD19</f>
        <v>0</v>
      </c>
      <c r="P33" s="54">
        <f>'SA Apr 2023'!BE19</f>
        <v>0</v>
      </c>
      <c r="Q33" s="110" t="str">
        <f t="shared" ref="Q33:Q37" si="29">IF(SUM(M33:P33)=0,"No discount",IF(M33&gt;0,"Guaranteed off bill",IF(N33&gt;0,"Guaranteed off usage",IF(O33&gt;0,"Pay-on-time off bill","Pay-on-time off usage"))))</f>
        <v>No discount</v>
      </c>
      <c r="R33" s="73" t="str">
        <f t="shared" ref="R33:R46" si="30">IF(OR(A33="Origin Energy",A33="Red Energy",A33="Powershop"),"Inclusive","Exclusive")</f>
        <v>Exclusive</v>
      </c>
      <c r="S33" s="111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6174.5930909090894</v>
      </c>
      <c r="T33" s="112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6174.5930909090894</v>
      </c>
      <c r="U33" s="97">
        <f>S33*1.1</f>
        <v>6792.0523999999987</v>
      </c>
      <c r="V33" s="381">
        <f>T33*1.1</f>
        <v>6792.0523999999987</v>
      </c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</row>
    <row r="34" spans="1:42" ht="14" x14ac:dyDescent="0.15">
      <c r="A34" s="70" t="str">
        <f>'SA Apr 2023'!K20</f>
        <v>Alinta Energy</v>
      </c>
      <c r="B34" s="49" t="str">
        <f>'SA Apr 2023'!L20</f>
        <v>BusinessDeal</v>
      </c>
      <c r="C34" s="46">
        <f>IF('SA Apr 2023'!BP20=0,91*'SA Apr 2023'!M20/100,(91*'SA Apr 2023'!M20/100)+'SA Apr 2023'!BP20/4)</f>
        <v>84.646545454545446</v>
      </c>
      <c r="D34" s="46">
        <f>IF('SA Apr 2023'!O20="",$C$28*$C$29*'SA Apr 2023'!N20/100,IF($C$28*$C$29&gt;='SA Apr 2023'!P20,('SA Apr 2023'!P20*'SA Apr 2023'!N20/100),($C$28*$C$29*'SA Apr 2023'!N20/100)))</f>
        <v>1194.7727272727273</v>
      </c>
      <c r="E34" s="46">
        <f>IF(AND('SA Apr 2023'!P20&gt;0,'SA Apr 2023'!R20&gt;0),IF($C$28*$C$29&lt;'SA Apr 2023'!P20,0,IF($C$28*$C$29&lt;=('SA Apr 2023'!R20+'SA Apr 2023'!P20),(($C$28*$C$29-'SA Apr 2023'!P20)*'SA Apr 2023'!Q20/100),(('SA Apr 2023'!R20)*'SA Apr 2023'!Q20/100))),0)</f>
        <v>0</v>
      </c>
      <c r="F34" s="46">
        <f>IF(AND('SA Apr 2023'!R20&gt;0,'SA Apr 2023'!T20&gt;0),IF(($C$28*$C$29&lt;'SA Apr 2023'!T20),(0),($C$28*$C$29-'SA Apr 2023'!T20)*'SA Apr 2023'!U20/100),IF(AND('SA Apr 2023'!R20&gt;0,'SA Apr 2023'!T20=""),IF(($C$28*$C$29&lt;'SA Apr 2023'!R20+'SA Apr 2023'!P20),(0),(($C$28*$C$29-('SA Apr 2023'!R20+'SA Apr 2023'!P20))*'SA Apr 2023'!S20/100)),IF(AND('SA Apr 2023'!P20&gt;0,'SA Apr 2023'!R20=""&gt;0),IF(($C$28*$C$29&lt;'SA Apr 2023'!P20),(0),($C$28*$C$29-'SA Apr 2023'!P20)*'SA Apr 2023'!Q20/100),0)))</f>
        <v>0</v>
      </c>
      <c r="G34" s="50">
        <f>($C$28*$C$30)*'SA Apr 2023'!AF20/100</f>
        <v>250.90909090909085</v>
      </c>
      <c r="H34" s="51">
        <f>IF($C$28*$C$30&lt;'SA Apr 2023'!AG20,(0),((('SA Bills Apr 2023'!$C$28*'SA Bills Apr 2023'!$C$30)-('SA Apr 2023'!AG20))*'SA Apr 2023'!AH20/100))</f>
        <v>0</v>
      </c>
      <c r="I34" s="52">
        <f t="shared" si="26"/>
        <v>1530.3283636363635</v>
      </c>
      <c r="J34" s="109">
        <f t="shared" ref="J34:J46" si="31">(I34-C34)*4</f>
        <v>5782.7272727272721</v>
      </c>
      <c r="K34" s="109">
        <f t="shared" si="27"/>
        <v>6121.3134545454541</v>
      </c>
      <c r="L34" s="53">
        <f t="shared" si="28"/>
        <v>6733.4448000000002</v>
      </c>
      <c r="M34" s="54">
        <f>'SA Apr 2023'!BB20</f>
        <v>0</v>
      </c>
      <c r="N34" s="54">
        <f>'SA Apr 2023'!BC20</f>
        <v>0</v>
      </c>
      <c r="O34" s="54">
        <f>'SA Apr 2023'!BD20</f>
        <v>0</v>
      </c>
      <c r="P34" s="54">
        <f>'SA Apr 2023'!BE20</f>
        <v>0</v>
      </c>
      <c r="Q34" s="110" t="str">
        <f t="shared" si="29"/>
        <v>No discount</v>
      </c>
      <c r="R34" s="73" t="str">
        <f t="shared" si="30"/>
        <v>Exclusive</v>
      </c>
      <c r="S34" s="111">
        <f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6121.3134545454541</v>
      </c>
      <c r="T34" s="112">
        <f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6121.3134545454541</v>
      </c>
      <c r="U34" s="97">
        <f t="shared" ref="U34:V46" si="32">S34*1.1</f>
        <v>6733.4448000000002</v>
      </c>
      <c r="V34" s="381">
        <f t="shared" si="32"/>
        <v>6733.4448000000002</v>
      </c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</row>
    <row r="35" spans="1:42" ht="14" x14ac:dyDescent="0.15">
      <c r="A35" s="70" t="str">
        <f>'SA Apr 2023'!K21</f>
        <v>Diamond Energy</v>
      </c>
      <c r="B35" s="49" t="str">
        <f>'SA Apr 2023'!L21</f>
        <v xml:space="preserve">Renewable Saver </v>
      </c>
      <c r="C35" s="46">
        <f>IF('SA Apr 2023'!BP21=0,91*'SA Apr 2023'!M21/100,(91*'SA Apr 2023'!M21/100)+'SA Apr 2023'!BP21/4)</f>
        <v>84.629999999999981</v>
      </c>
      <c r="D35" s="46">
        <f>IF('SA Apr 2023'!O21="",$C$28*$C$29*'SA Apr 2023'!N21/100,IF($C$28*$C$29&gt;='SA Apr 2023'!P21,('SA Apr 2023'!P21*'SA Apr 2023'!N21/100),($C$28*$C$29*'SA Apr 2023'!N21/100)))</f>
        <v>361.54545454545456</v>
      </c>
      <c r="E35" s="46">
        <f>IF(AND('SA Apr 2023'!P21&gt;0,'SA Apr 2023'!R21&gt;0),IF($C$28*$C$29&lt;'SA Apr 2023'!P21,0,IF($C$28*$C$29&lt;=('SA Apr 2023'!R21+'SA Apr 2023'!P21),(($C$28*$C$29-'SA Apr 2023'!P21)*'SA Apr 2023'!Q21/100),(('SA Apr 2023'!R21)*'SA Apr 2023'!Q21/100))),0)</f>
        <v>0</v>
      </c>
      <c r="F35" s="46">
        <f>IF(AND('SA Apr 2023'!R21&gt;0,'SA Apr 2023'!T21&gt;0),IF(($C$28*$C$29&lt;'SA Apr 2023'!T21),(0),($C$28*$C$29-'SA Apr 2023'!T21)*'SA Apr 2023'!U21/100),IF(AND('SA Apr 2023'!R21&gt;0,'SA Apr 2023'!T21=""),IF(($C$28*$C$29&lt;'SA Apr 2023'!R21+'SA Apr 2023'!P21),(0),(($C$28*$C$29-('SA Apr 2023'!R21+'SA Apr 2023'!P21))*'SA Apr 2023'!S21/100)),IF(AND('SA Apr 2023'!P21&gt;0,'SA Apr 2023'!R21=""&gt;0),IF(($C$28*$C$29&lt;'SA Apr 2023'!P21),(0),($C$28*$C$29-'SA Apr 2023'!P21)*'SA Apr 2023'!Q21/100),0)))</f>
        <v>974.99999999999989</v>
      </c>
      <c r="G35" s="50">
        <f>($C$28*$C$30)*'SA Apr 2023'!AF21/100</f>
        <v>263.0454545454545</v>
      </c>
      <c r="H35" s="51">
        <v>0</v>
      </c>
      <c r="I35" s="52">
        <f t="shared" si="26"/>
        <v>1684.2209090909089</v>
      </c>
      <c r="J35" s="109">
        <f t="shared" si="31"/>
        <v>6398.363636363636</v>
      </c>
      <c r="K35" s="109">
        <f t="shared" si="27"/>
        <v>6736.8836363636356</v>
      </c>
      <c r="L35" s="53">
        <f t="shared" si="28"/>
        <v>7410.5720000000001</v>
      </c>
      <c r="M35" s="54">
        <f>'SA Apr 2023'!BB21</f>
        <v>0</v>
      </c>
      <c r="N35" s="54">
        <f>'SA Apr 2023'!BC21</f>
        <v>0</v>
      </c>
      <c r="O35" s="54">
        <f>'SA Apr 2023'!BD21</f>
        <v>2</v>
      </c>
      <c r="P35" s="54">
        <f>'SA Apr 2023'!BE21</f>
        <v>0</v>
      </c>
      <c r="Q35" s="110" t="str">
        <f t="shared" si="29"/>
        <v>Pay-on-time off bill</v>
      </c>
      <c r="R35" s="73" t="str">
        <f t="shared" si="30"/>
        <v>Exclusive</v>
      </c>
      <c r="S35" s="111">
        <f t="shared" ref="S35:S46" si="33">IF(AND(Q35="Guaranteed off bill",R35="Inclusive"),((K35*1.1)-((K35*1.1)*M35/100))/1.1,IF(AND(Q35="Guaranteed off usage",R35="Inclusive"),((K35*1.1)-((J35*1.1)*N35/100))/1.1,IF(AND(Q35="Guaranteed off bill",R35="Exclusive"),K35-(K35*M35/100),IF(AND(Q35="Guaranteed off usage",R35="Exclusive"),K35-(J35*N35/100),IF(R35="Inclusive",((K35*1.1))/1.1,K35)))))</f>
        <v>6736.8836363636356</v>
      </c>
      <c r="T35" s="112">
        <f t="shared" ref="T35:T46" si="34">IF(AND(Q35="Pay-on-time off bill",R35="Inclusive"),((S35*1.1)-((S35*1.1)*O35/100))/1.1,IF(AND(Q35="Pay-on-time off usage",R35="Inclusive"),((S35*1.1)-((J35*1.1)*P35/100))/1.1,IF(AND(Q35="Pay-on-time off bill",R35="Exclusive"),S35-(S35*O35/100),IF(AND(Q35="Pay-on-time off usage",R35="Exclusive"),S35-(J35*P35/100),IF(R35="Inclusive",((S35*1.1))/1.1,S35)))))</f>
        <v>6602.1459636363625</v>
      </c>
      <c r="U35" s="97">
        <f t="shared" si="32"/>
        <v>7410.5720000000001</v>
      </c>
      <c r="V35" s="381">
        <f t="shared" si="32"/>
        <v>7262.3605599999992</v>
      </c>
      <c r="W35" s="290"/>
      <c r="X35" s="290"/>
      <c r="Y35" s="290"/>
      <c r="Z35" s="290"/>
      <c r="AA35" s="290"/>
      <c r="AB35" s="290"/>
      <c r="AC35" s="290"/>
      <c r="AD35" s="290"/>
      <c r="AE35" s="290"/>
      <c r="AF35" s="290"/>
      <c r="AG35" s="290"/>
      <c r="AH35" s="290"/>
      <c r="AI35" s="290"/>
      <c r="AJ35" s="290"/>
      <c r="AK35" s="290"/>
      <c r="AL35" s="290"/>
      <c r="AM35" s="290"/>
      <c r="AN35" s="290"/>
      <c r="AO35" s="290"/>
      <c r="AP35" s="290"/>
    </row>
    <row r="36" spans="1:42" ht="14" x14ac:dyDescent="0.15">
      <c r="A36" s="70" t="str">
        <f>'SA Apr 2023'!K22</f>
        <v>EnergyAustralia</v>
      </c>
      <c r="B36" s="49" t="str">
        <f>'SA Apr 2023'!L22</f>
        <v>Balance Plan</v>
      </c>
      <c r="C36" s="46">
        <f>IF('SA Apr 2023'!BP22=0,91*'SA Apr 2023'!M22/100,(91*'SA Apr 2023'!M22/100)+'SA Apr 2023'!BP22/4)</f>
        <v>95.094999999999999</v>
      </c>
      <c r="D36" s="46">
        <f>IF('SA Apr 2023'!O22="",$C$28*$C$29*'SA Apr 2023'!N22/100,IF($C$28*$C$29&gt;='SA Apr 2023'!P22,('SA Apr 2023'!P22*'SA Apr 2023'!N22/100),($C$28*$C$29*'SA Apr 2023'!N22/100)))</f>
        <v>1310.5909090909088</v>
      </c>
      <c r="E36" s="46">
        <f>IF(AND('SA Apr 2023'!P22&gt;0,'SA Apr 2023'!R22&gt;0),IF($C$28*$C$29&lt;'SA Apr 2023'!P22,0,IF($C$28*$C$29&lt;=('SA Apr 2023'!R22+'SA Apr 2023'!P22),(($C$28*$C$29-'SA Apr 2023'!P22)*'SA Apr 2023'!Q22/100),(('SA Apr 2023'!R22)*'SA Apr 2023'!Q22/100))),0)</f>
        <v>0</v>
      </c>
      <c r="F36" s="46">
        <f>IF(AND('SA Apr 2023'!R22&gt;0,'SA Apr 2023'!T22&gt;0),IF(($C$28*$C$29&lt;'SA Apr 2023'!T22),(0),($C$28*$C$29-'SA Apr 2023'!T22)*'SA Apr 2023'!U22/100),IF(AND('SA Apr 2023'!R22&gt;0,'SA Apr 2023'!T22=""),IF(($C$28*$C$29&lt;'SA Apr 2023'!R22+'SA Apr 2023'!P22),(0),(($C$28*$C$29-('SA Apr 2023'!R22+'SA Apr 2023'!P22))*'SA Apr 2023'!S22/100)),IF(AND('SA Apr 2023'!P22&gt;0,'SA Apr 2023'!R22=""&gt;0),IF(($C$28*$C$29&lt;'SA Apr 2023'!P22),(0),($C$28*$C$29-'SA Apr 2023'!P22)*'SA Apr 2023'!Q22/100),0)))</f>
        <v>0</v>
      </c>
      <c r="G36" s="50">
        <f>($C$28*$C$30)*'SA Apr 2023'!AF22/100</f>
        <v>272.72727272727269</v>
      </c>
      <c r="H36" s="51">
        <v>0</v>
      </c>
      <c r="I36" s="52">
        <f t="shared" si="26"/>
        <v>1678.4131818181816</v>
      </c>
      <c r="J36" s="109">
        <f t="shared" si="31"/>
        <v>6333.2727272727261</v>
      </c>
      <c r="K36" s="109">
        <f t="shared" si="27"/>
        <v>6713.6527272727262</v>
      </c>
      <c r="L36" s="53">
        <f t="shared" si="28"/>
        <v>7385.0179999999991</v>
      </c>
      <c r="M36" s="54">
        <f>'SA Apr 2023'!BB22</f>
        <v>2</v>
      </c>
      <c r="N36" s="54">
        <f>'SA Apr 2023'!BC22</f>
        <v>0</v>
      </c>
      <c r="O36" s="54">
        <f>'SA Apr 2023'!BD22</f>
        <v>0</v>
      </c>
      <c r="P36" s="54">
        <f>'SA Apr 2023'!BE22</f>
        <v>0</v>
      </c>
      <c r="Q36" s="110" t="str">
        <f t="shared" si="29"/>
        <v>Guaranteed off bill</v>
      </c>
      <c r="R36" s="73" t="str">
        <f t="shared" si="30"/>
        <v>Exclusive</v>
      </c>
      <c r="S36" s="111">
        <f t="shared" si="33"/>
        <v>6579.379672727272</v>
      </c>
      <c r="T36" s="112">
        <f t="shared" si="34"/>
        <v>6579.379672727272</v>
      </c>
      <c r="U36" s="97">
        <f t="shared" si="32"/>
        <v>7237.3176400000002</v>
      </c>
      <c r="V36" s="381">
        <f t="shared" si="32"/>
        <v>7237.3176400000002</v>
      </c>
      <c r="W36" s="290"/>
      <c r="X36" s="290"/>
      <c r="Y36" s="290"/>
      <c r="Z36" s="290"/>
      <c r="AA36" s="290"/>
      <c r="AB36" s="290"/>
      <c r="AC36" s="290"/>
      <c r="AD36" s="290"/>
      <c r="AE36" s="290"/>
      <c r="AF36" s="290"/>
      <c r="AG36" s="290"/>
      <c r="AH36" s="290"/>
      <c r="AI36" s="290"/>
      <c r="AJ36" s="290"/>
      <c r="AK36" s="290"/>
      <c r="AL36" s="290"/>
      <c r="AM36" s="290"/>
      <c r="AN36" s="290"/>
      <c r="AO36" s="290"/>
      <c r="AP36" s="290"/>
    </row>
    <row r="37" spans="1:42" ht="14" x14ac:dyDescent="0.15">
      <c r="A37" s="70" t="str">
        <f>'SA Apr 2023'!K23</f>
        <v>Lumo Energy</v>
      </c>
      <c r="B37" s="49" t="str">
        <f>'SA Apr 2023'!L23</f>
        <v>Basic</v>
      </c>
      <c r="C37" s="46">
        <f>IF('SA Apr 2023'!BP23=0,91*'SA Apr 2023'!M23/100,(91*'SA Apr 2023'!M23/100)+'SA Apr 2023'!BP23/4)</f>
        <v>118.3</v>
      </c>
      <c r="D37" s="46">
        <f>IF('SA Apr 2023'!O23="",$C$28*$C$29*'SA Apr 2023'!N23/100,IF($C$28*$C$29&gt;='SA Apr 2023'!P23,('SA Apr 2023'!P23*'SA Apr 2023'!N23/100),($C$28*$C$29*'SA Apr 2023'!N23/100)))</f>
        <v>1272.409090909091</v>
      </c>
      <c r="E37" s="46">
        <f>IF(AND('SA Apr 2023'!P23&gt;0,'SA Apr 2023'!R23&gt;0),IF($C$28*$C$29&lt;'SA Apr 2023'!P23,0,IF($C$28*$C$29&lt;=('SA Apr 2023'!R23+'SA Apr 2023'!P23),(($C$28*$C$29-'SA Apr 2023'!P23)*'SA Apr 2023'!Q23/100),(('SA Apr 2023'!R23)*'SA Apr 2023'!Q23/100))),0)</f>
        <v>0</v>
      </c>
      <c r="F37" s="46">
        <f>IF(AND('SA Apr 2023'!R23&gt;0,'SA Apr 2023'!T23&gt;0),IF(($C$28*$C$29&lt;'SA Apr 2023'!T23),(0),($C$28*$C$29-'SA Apr 2023'!T23)*'SA Apr 2023'!U23/100),IF(AND('SA Apr 2023'!R23&gt;0,'SA Apr 2023'!T23=""),IF(($C$28*$C$29&lt;'SA Apr 2023'!R23+'SA Apr 2023'!P23),(0),(($C$28*$C$29-('SA Apr 2023'!R23+'SA Apr 2023'!P23))*'SA Apr 2023'!S23/100)),IF(AND('SA Apr 2023'!P23&gt;0,'SA Apr 2023'!R23=""&gt;0),IF(($C$28*$C$29&lt;'SA Apr 2023'!P23),(0),($C$28*$C$29-'SA Apr 2023'!P23)*'SA Apr 2023'!Q23/100),0)))</f>
        <v>0</v>
      </c>
      <c r="G37" s="50">
        <f>($C$28*$C$30)*'SA Apr 2023'!AF23/100</f>
        <v>270</v>
      </c>
      <c r="H37" s="51">
        <v>1</v>
      </c>
      <c r="I37" s="52">
        <f t="shared" si="26"/>
        <v>1660.7090909090909</v>
      </c>
      <c r="J37" s="109">
        <f t="shared" si="31"/>
        <v>6169.636363636364</v>
      </c>
      <c r="K37" s="109">
        <f t="shared" si="27"/>
        <v>6642.8363636363638</v>
      </c>
      <c r="L37" s="53">
        <f t="shared" si="28"/>
        <v>7307.1200000000008</v>
      </c>
      <c r="M37" s="54">
        <f>'SA Apr 2023'!BB23</f>
        <v>0</v>
      </c>
      <c r="N37" s="54">
        <f>'SA Apr 2023'!BC23</f>
        <v>0</v>
      </c>
      <c r="O37" s="54">
        <f>'SA Apr 2023'!BD23</f>
        <v>0</v>
      </c>
      <c r="P37" s="54">
        <f>'SA Apr 2023'!BE23</f>
        <v>0</v>
      </c>
      <c r="Q37" s="110" t="str">
        <f t="shared" si="29"/>
        <v>No discount</v>
      </c>
      <c r="R37" s="73" t="str">
        <f t="shared" si="30"/>
        <v>Exclusive</v>
      </c>
      <c r="S37" s="111">
        <f t="shared" si="33"/>
        <v>6642.8363636363638</v>
      </c>
      <c r="T37" s="112">
        <f t="shared" si="34"/>
        <v>6642.8363636363638</v>
      </c>
      <c r="U37" s="97">
        <f t="shared" si="32"/>
        <v>7307.1200000000008</v>
      </c>
      <c r="V37" s="381">
        <f t="shared" si="32"/>
        <v>7307.1200000000008</v>
      </c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</row>
    <row r="38" spans="1:42" ht="14" x14ac:dyDescent="0.15">
      <c r="A38" s="70" t="str">
        <f>'SA Apr 2023'!K24</f>
        <v>Origin Energy</v>
      </c>
      <c r="B38" s="49" t="str">
        <f>'SA Apr 2023'!L24</f>
        <v>Go Variable</v>
      </c>
      <c r="C38" s="46">
        <f>IF('SA Apr 2023'!BP24=0,91*'SA Apr 2023'!M24/100,(91*'SA Apr 2023'!M24/100)+'SA Apr 2023'!BP24/4)</f>
        <v>78.673636363636348</v>
      </c>
      <c r="D38" s="46">
        <f>IF('SA Apr 2023'!O24="",$C$28*$C$29*'SA Apr 2023'!N24/100,IF($C$28*$C$29&gt;='SA Apr 2023'!P24,('SA Apr 2023'!P24*'SA Apr 2023'!N24/100),($C$28*$C$29*'SA Apr 2023'!N24/100)))</f>
        <v>1203.3636363636363</v>
      </c>
      <c r="E38" s="46">
        <f>IF(AND('SA Apr 2023'!P24&gt;0,'SA Apr 2023'!R24&gt;0),IF($C$28*$C$29&lt;'SA Apr 2023'!P24,0,IF($C$28*$C$29&lt;=('SA Apr 2023'!R24+'SA Apr 2023'!P24),(($C$28*$C$29-'SA Apr 2023'!P24)*'SA Apr 2023'!Q24/100),(('SA Apr 2023'!R24)*'SA Apr 2023'!Q24/100))),0)</f>
        <v>0</v>
      </c>
      <c r="F38" s="46">
        <f>IF(AND('SA Apr 2023'!R24&gt;0,'SA Apr 2023'!T24&gt;0),IF(($C$28*$C$29&lt;'SA Apr 2023'!T24),(0),($C$28*$C$29-'SA Apr 2023'!T24)*'SA Apr 2023'!U24/100),IF(AND('SA Apr 2023'!R24&gt;0,'SA Apr 2023'!T24=""),IF(($C$28*$C$29&lt;'SA Apr 2023'!R24+'SA Apr 2023'!P24),(0),(($C$28*$C$29-('SA Apr 2023'!R24+'SA Apr 2023'!P24))*'SA Apr 2023'!S24/100)),IF(AND('SA Apr 2023'!P24&gt;0,'SA Apr 2023'!R24=""&gt;0),IF(($C$28*$C$29&lt;'SA Apr 2023'!P24),(0),($C$28*$C$29-'SA Apr 2023'!P24)*'SA Apr 2023'!Q24/100),0)))</f>
        <v>0</v>
      </c>
      <c r="G38" s="50">
        <f>($C$28*$C$30)*'SA Apr 2023'!AF24/100</f>
        <v>244.22727272727272</v>
      </c>
      <c r="H38" s="51">
        <v>0</v>
      </c>
      <c r="I38" s="52">
        <f t="shared" si="26"/>
        <v>1526.2645454545454</v>
      </c>
      <c r="J38" s="109">
        <f t="shared" si="31"/>
        <v>5790.363636363636</v>
      </c>
      <c r="K38" s="109">
        <f t="shared" si="27"/>
        <v>6105.0581818181818</v>
      </c>
      <c r="L38" s="53">
        <f t="shared" si="28"/>
        <v>6715.5640000000003</v>
      </c>
      <c r="M38" s="54">
        <f>'SA Apr 2023'!BB24</f>
        <v>0</v>
      </c>
      <c r="N38" s="54">
        <f>'SA Apr 2023'!BC24</f>
        <v>0</v>
      </c>
      <c r="O38" s="54">
        <f>'SA Apr 2023'!BD24</f>
        <v>0</v>
      </c>
      <c r="P38" s="54">
        <f>'SA Apr 2023'!BE24</f>
        <v>0</v>
      </c>
      <c r="Q38" s="110" t="str">
        <f t="shared" ref="Q38:Q46" si="35">IF(SUM(M38:P38)=0,"No discount",IF(M38&gt;0,"Guaranteed off bill",IF(N38&gt;0,"Guaranteed off usage",IF(O38&gt;0,"Pay-on-time off bill","Pay-on-time off usage"))))</f>
        <v>No discount</v>
      </c>
      <c r="R38" s="73" t="str">
        <f t="shared" si="30"/>
        <v>Inclusive</v>
      </c>
      <c r="S38" s="111">
        <f t="shared" si="33"/>
        <v>6105.0581818181818</v>
      </c>
      <c r="T38" s="112">
        <f t="shared" si="34"/>
        <v>6105.0581818181818</v>
      </c>
      <c r="U38" s="97">
        <f t="shared" si="32"/>
        <v>6715.5640000000003</v>
      </c>
      <c r="V38" s="381">
        <f t="shared" si="32"/>
        <v>6715.5640000000003</v>
      </c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</row>
    <row r="39" spans="1:42" ht="14" x14ac:dyDescent="0.15">
      <c r="A39" s="70" t="str">
        <f>'SA Apr 2023'!K25</f>
        <v>Red Energy</v>
      </c>
      <c r="B39" s="49" t="str">
        <f>'SA Apr 2023'!L25</f>
        <v>Red Business Saver</v>
      </c>
      <c r="C39" s="46">
        <f>IF('SA Apr 2023'!BP25=0,91*'SA Apr 2023'!M25/100,(91*'SA Apr 2023'!M25/100)+'SA Apr 2023'!BP25/4)</f>
        <v>118.3</v>
      </c>
      <c r="D39" s="46">
        <f>IF('SA Apr 2023'!O25="",$C$28*$C$29*'SA Apr 2023'!N25/100,IF($C$28*$C$29&gt;='SA Apr 2023'!P25,('SA Apr 2023'!P25*'SA Apr 2023'!N25/100),($C$28*$C$29*'SA Apr 2023'!N25/100)))</f>
        <v>1272.409090909091</v>
      </c>
      <c r="E39" s="46">
        <f>IF(AND('SA Apr 2023'!P25&gt;0,'SA Apr 2023'!R25&gt;0),IF($C$28*$C$29&lt;'SA Apr 2023'!P25,0,IF($C$28*$C$29&lt;=('SA Apr 2023'!R25+'SA Apr 2023'!P25),(($C$28*$C$29-'SA Apr 2023'!P25)*'SA Apr 2023'!Q25/100),(('SA Apr 2023'!R25)*'SA Apr 2023'!Q25/100))),0)</f>
        <v>0</v>
      </c>
      <c r="F39" s="46">
        <f>IF(AND('SA Apr 2023'!R25&gt;0,'SA Apr 2023'!T25&gt;0),IF(($C$28*$C$29&lt;'SA Apr 2023'!T25),(0),($C$28*$C$29-'SA Apr 2023'!T25)*'SA Apr 2023'!U25/100),IF(AND('SA Apr 2023'!R25&gt;0,'SA Apr 2023'!T25=""),IF(($C$28*$C$29&lt;'SA Apr 2023'!R25+'SA Apr 2023'!P25),(0),(($C$28*$C$29-('SA Apr 2023'!R25+'SA Apr 2023'!P25))*'SA Apr 2023'!S25/100)),IF(AND('SA Apr 2023'!P25&gt;0,'SA Apr 2023'!R25=""&gt;0),IF(($C$28*$C$29&lt;'SA Apr 2023'!P25),(0),($C$28*$C$29-'SA Apr 2023'!P25)*'SA Apr 2023'!Q25/100),0)))</f>
        <v>0</v>
      </c>
      <c r="G39" s="50">
        <f>($C$28*$C$30)*'SA Apr 2023'!AF25/100</f>
        <v>270</v>
      </c>
      <c r="H39" s="51">
        <v>0</v>
      </c>
      <c r="I39" s="52">
        <f t="shared" si="26"/>
        <v>1660.7090909090909</v>
      </c>
      <c r="J39" s="109">
        <f t="shared" si="31"/>
        <v>6169.636363636364</v>
      </c>
      <c r="K39" s="109">
        <f t="shared" si="27"/>
        <v>6642.8363636363638</v>
      </c>
      <c r="L39" s="53">
        <f t="shared" si="28"/>
        <v>7307.1200000000008</v>
      </c>
      <c r="M39" s="54">
        <f>'SA Apr 2023'!BB25</f>
        <v>0</v>
      </c>
      <c r="N39" s="54">
        <f>'SA Apr 2023'!BC25</f>
        <v>0</v>
      </c>
      <c r="O39" s="54">
        <f>'SA Apr 2023'!BD25</f>
        <v>0</v>
      </c>
      <c r="P39" s="54">
        <f>'SA Apr 2023'!BE25</f>
        <v>0</v>
      </c>
      <c r="Q39" s="110" t="str">
        <f t="shared" si="35"/>
        <v>No discount</v>
      </c>
      <c r="R39" s="73" t="str">
        <f t="shared" si="30"/>
        <v>Inclusive</v>
      </c>
      <c r="S39" s="111">
        <f t="shared" si="33"/>
        <v>6642.8363636363638</v>
      </c>
      <c r="T39" s="112">
        <f t="shared" si="34"/>
        <v>6642.8363636363638</v>
      </c>
      <c r="U39" s="97">
        <f t="shared" si="32"/>
        <v>7307.1200000000008</v>
      </c>
      <c r="V39" s="381">
        <f t="shared" si="32"/>
        <v>7307.1200000000008</v>
      </c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</row>
    <row r="40" spans="1:42" ht="14" x14ac:dyDescent="0.15">
      <c r="A40" s="70" t="str">
        <f>'SA Apr 2023'!K26</f>
        <v>Simply Energy</v>
      </c>
      <c r="B40" s="49" t="str">
        <f>'SA Apr 2023'!L26</f>
        <v>Business Saver</v>
      </c>
      <c r="C40" s="46">
        <f>IF('SA Apr 2023'!BP26=0,91*'SA Apr 2023'!M26/100,(91*'SA Apr 2023'!M26/100)+'SA Apr 2023'!BP26/4)</f>
        <v>93.274999999999977</v>
      </c>
      <c r="D40" s="46">
        <f>IF('SA Apr 2023'!O26="",$C$28*$C$29*'SA Apr 2023'!N26/100,IF($C$28*$C$29&gt;='SA Apr 2023'!P26,('SA Apr 2023'!P26*'SA Apr 2023'!N26/100),($C$28*$C$29*'SA Apr 2023'!N26/100)))</f>
        <v>1313.1363636363635</v>
      </c>
      <c r="E40" s="46">
        <f>IF(AND('SA Apr 2023'!P26&gt;0,'SA Apr 2023'!R26&gt;0),IF($C$28*$C$29&lt;'SA Apr 2023'!P26,0,IF($C$28*$C$29&lt;=('SA Apr 2023'!R26+'SA Apr 2023'!P26),(($C$28*$C$29-'SA Apr 2023'!P26)*'SA Apr 2023'!Q26/100),(('SA Apr 2023'!R26)*'SA Apr 2023'!Q26/100))),0)</f>
        <v>0</v>
      </c>
      <c r="F40" s="46">
        <f>IF(AND('SA Apr 2023'!R26&gt;0,'SA Apr 2023'!T26&gt;0),IF(($C$28*$C$29&lt;'SA Apr 2023'!T26),(0),($C$28*$C$29-'SA Apr 2023'!T26)*'SA Apr 2023'!U26/100),IF(AND('SA Apr 2023'!R26&gt;0,'SA Apr 2023'!T26=""),IF(($C$28*$C$29&lt;'SA Apr 2023'!R26+'SA Apr 2023'!P26),(0),(($C$28*$C$29-('SA Apr 2023'!R26+'SA Apr 2023'!P26))*'SA Apr 2023'!S26/100)),IF(AND('SA Apr 2023'!P26&gt;0,'SA Apr 2023'!R26=""&gt;0),IF(($C$28*$C$29&lt;'SA Apr 2023'!P26),(0),($C$28*$C$29-'SA Apr 2023'!P26)*'SA Apr 2023'!Q26/100),0)))</f>
        <v>0</v>
      </c>
      <c r="G40" s="50">
        <f>($C$28*$C$30)*'SA Apr 2023'!AF26/100</f>
        <v>272.72727272727269</v>
      </c>
      <c r="H40" s="51">
        <v>0</v>
      </c>
      <c r="I40" s="52">
        <f t="shared" si="26"/>
        <v>1679.1386363636364</v>
      </c>
      <c r="J40" s="109">
        <f t="shared" si="31"/>
        <v>6343.454545454546</v>
      </c>
      <c r="K40" s="109">
        <f t="shared" si="27"/>
        <v>6716.5545454545454</v>
      </c>
      <c r="L40" s="53">
        <f t="shared" si="28"/>
        <v>7388.2100000000009</v>
      </c>
      <c r="M40" s="54">
        <f>'SA Apr 2023'!BB26</f>
        <v>6</v>
      </c>
      <c r="N40" s="54">
        <f>'SA Apr 2023'!BC26</f>
        <v>0</v>
      </c>
      <c r="O40" s="54">
        <f>'SA Apr 2023'!BD26</f>
        <v>0</v>
      </c>
      <c r="P40" s="54">
        <f>'SA Apr 2023'!BE26</f>
        <v>0</v>
      </c>
      <c r="Q40" s="110" t="str">
        <f t="shared" si="35"/>
        <v>Guaranteed off bill</v>
      </c>
      <c r="R40" s="73" t="str">
        <f t="shared" si="30"/>
        <v>Exclusive</v>
      </c>
      <c r="S40" s="111">
        <f t="shared" si="33"/>
        <v>6313.5612727272728</v>
      </c>
      <c r="T40" s="112">
        <f t="shared" si="34"/>
        <v>6313.5612727272728</v>
      </c>
      <c r="U40" s="97">
        <f t="shared" si="32"/>
        <v>6944.9174000000003</v>
      </c>
      <c r="V40" s="381">
        <f t="shared" si="32"/>
        <v>6944.9174000000003</v>
      </c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</row>
    <row r="41" spans="1:42" ht="14" x14ac:dyDescent="0.15">
      <c r="A41" s="70" t="str">
        <f>'SA Apr 2023'!K27</f>
        <v>Powershop</v>
      </c>
      <c r="B41" s="49" t="str">
        <f>'SA Apr 2023'!L27</f>
        <v>100% Carbon Neutral</v>
      </c>
      <c r="C41" s="46">
        <f>IF('SA Apr 2023'!BP27=0,91*'SA Apr 2023'!M27/100,(91*'SA Apr 2023'!M27/100)+'SA Apr 2023'!BP27/4)</f>
        <v>126.14254545454543</v>
      </c>
      <c r="D41" s="46">
        <f>IF('SA Apr 2023'!O27="",$C$28*$C$29*'SA Apr 2023'!N27/100,IF($C$28*$C$29&gt;='SA Apr 2023'!P27,('SA Apr 2023'!P27*'SA Apr 2023'!N27/100),($C$28*$C$29*'SA Apr 2023'!N27/100)))</f>
        <v>1303.9090909090908</v>
      </c>
      <c r="E41" s="46">
        <f>IF(AND('SA Apr 2023'!P27&gt;0,'SA Apr 2023'!R27&gt;0),IF($C$28*$C$29&lt;'SA Apr 2023'!P27,0,IF($C$28*$C$29&lt;=('SA Apr 2023'!R27+'SA Apr 2023'!P27),(($C$28*$C$29-'SA Apr 2023'!P27)*'SA Apr 2023'!Q27/100),(('SA Apr 2023'!R27)*'SA Apr 2023'!Q27/100))),0)</f>
        <v>0</v>
      </c>
      <c r="F41" s="46">
        <f>IF(AND('SA Apr 2023'!R27&gt;0,'SA Apr 2023'!T27&gt;0),IF(($C$28*$C$29&lt;'SA Apr 2023'!T27),(0),($C$28*$C$29-'SA Apr 2023'!T27)*'SA Apr 2023'!U27/100),IF(AND('SA Apr 2023'!R27&gt;0,'SA Apr 2023'!T27=""),IF(($C$28*$C$29&lt;'SA Apr 2023'!R27+'SA Apr 2023'!P27),(0),(($C$28*$C$29-('SA Apr 2023'!R27+'SA Apr 2023'!P27))*'SA Apr 2023'!S27/100)),IF(AND('SA Apr 2023'!P27&gt;0,'SA Apr 2023'!R27=""&gt;0),IF(($C$28*$C$29&lt;'SA Apr 2023'!P27),(0),($C$28*$C$29-'SA Apr 2023'!P27)*'SA Apr 2023'!Q27/100),0)))</f>
        <v>0</v>
      </c>
      <c r="G41" s="50">
        <f>($C$28*$C$30)*'SA Apr 2023'!AF27/100</f>
        <v>276.81818181818181</v>
      </c>
      <c r="H41" s="51">
        <v>0</v>
      </c>
      <c r="I41" s="52">
        <f t="shared" si="26"/>
        <v>1706.8698181818179</v>
      </c>
      <c r="J41" s="109">
        <f t="shared" si="31"/>
        <v>6322.9090909090901</v>
      </c>
      <c r="K41" s="109">
        <f t="shared" si="27"/>
        <v>6827.4792727272716</v>
      </c>
      <c r="L41" s="53">
        <f t="shared" si="28"/>
        <v>7510.2271999999994</v>
      </c>
      <c r="M41" s="54">
        <f>'SA Apr 2023'!BB27</f>
        <v>0</v>
      </c>
      <c r="N41" s="54">
        <f>'SA Apr 2023'!BC27</f>
        <v>0</v>
      </c>
      <c r="O41" s="54">
        <f>'SA Apr 2023'!BD27</f>
        <v>0</v>
      </c>
      <c r="P41" s="54">
        <f>'SA Apr 2023'!BE27</f>
        <v>0</v>
      </c>
      <c r="Q41" s="110" t="str">
        <f t="shared" si="35"/>
        <v>No discount</v>
      </c>
      <c r="R41" s="73" t="str">
        <f t="shared" si="30"/>
        <v>Inclusive</v>
      </c>
      <c r="S41" s="111">
        <f t="shared" si="33"/>
        <v>6827.4792727272716</v>
      </c>
      <c r="T41" s="112">
        <f t="shared" si="34"/>
        <v>6827.4792727272716</v>
      </c>
      <c r="U41" s="97">
        <f t="shared" si="32"/>
        <v>7510.2271999999994</v>
      </c>
      <c r="V41" s="381">
        <f t="shared" si="32"/>
        <v>7510.2271999999994</v>
      </c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</row>
    <row r="42" spans="1:42" ht="14" x14ac:dyDescent="0.15">
      <c r="A42" s="70" t="str">
        <f>'SA Apr 2023'!K28</f>
        <v>Energy Locals</v>
      </c>
      <c r="B42" s="49" t="str">
        <f>'SA Apr 2023'!L28</f>
        <v>Business Member</v>
      </c>
      <c r="C42" s="46">
        <f>IF('SA Apr 2023'!BP28=0,91*'SA Apr 2023'!M28/100,(91*'SA Apr 2023'!M28/100)+'SA Apr 2023'!BP28/4)</f>
        <v>109.5590909090909</v>
      </c>
      <c r="D42" s="46">
        <f>IF('SA Apr 2023'!O28="",$C$28*$C$29*'SA Apr 2023'!N28/100,IF($C$28*$C$29&gt;='SA Apr 2023'!P28,('SA Apr 2023'!P28*'SA Apr 2023'!N28/100),($C$28*$C$29*'SA Apr 2023'!N28/100)))</f>
        <v>1145.4545454545455</v>
      </c>
      <c r="E42" s="46">
        <f>IF(AND('SA Apr 2023'!P28&gt;0,'SA Apr 2023'!R28&gt;0),IF($C$28*$C$29&lt;'SA Apr 2023'!P28,0,IF($C$28*$C$29&lt;=('SA Apr 2023'!R28+'SA Apr 2023'!P28),(($C$28*$C$29-'SA Apr 2023'!P28)*'SA Apr 2023'!Q28/100),(('SA Apr 2023'!R28)*'SA Apr 2023'!Q28/100))),0)</f>
        <v>0</v>
      </c>
      <c r="F42" s="46">
        <f>IF(AND('SA Apr 2023'!R28&gt;0,'SA Apr 2023'!T28&gt;0),IF(($C$28*$C$29&lt;'SA Apr 2023'!T28),(0),($C$28*$C$29-'SA Apr 2023'!T28)*'SA Apr 2023'!U28/100),IF(AND('SA Apr 2023'!R28&gt;0,'SA Apr 2023'!T28=""),IF(($C$28*$C$29&lt;'SA Apr 2023'!R28+'SA Apr 2023'!P28),(0),(($C$28*$C$29-('SA Apr 2023'!R28+'SA Apr 2023'!P28))*'SA Apr 2023'!S28/100)),IF(AND('SA Apr 2023'!P28&gt;0,'SA Apr 2023'!R28=""&gt;0),IF(($C$28*$C$29&lt;'SA Apr 2023'!P28),(0),($C$28*$C$29-'SA Apr 2023'!P28)*'SA Apr 2023'!Q28/100),0)))</f>
        <v>0</v>
      </c>
      <c r="G42" s="50">
        <f>($C$28*$C$30)*'SA Apr 2023'!AF28/100</f>
        <v>354.5454545454545</v>
      </c>
      <c r="H42" s="51">
        <v>0</v>
      </c>
      <c r="I42" s="52">
        <f t="shared" si="26"/>
        <v>1609.5590909090909</v>
      </c>
      <c r="J42" s="111">
        <f t="shared" si="31"/>
        <v>6000</v>
      </c>
      <c r="K42" s="109">
        <f t="shared" si="27"/>
        <v>6438.2363636363634</v>
      </c>
      <c r="L42" s="53">
        <f t="shared" si="28"/>
        <v>7082.06</v>
      </c>
      <c r="M42" s="54">
        <f>'SA Apr 2023'!BB28</f>
        <v>0</v>
      </c>
      <c r="N42" s="54">
        <f>'SA Apr 2023'!BC28</f>
        <v>0</v>
      </c>
      <c r="O42" s="54">
        <f>'SA Apr 2023'!BD28</f>
        <v>0</v>
      </c>
      <c r="P42" s="54">
        <f>'SA Apr 2023'!BE28</f>
        <v>0</v>
      </c>
      <c r="Q42" s="110" t="str">
        <f t="shared" si="35"/>
        <v>No discount</v>
      </c>
      <c r="R42" s="73" t="str">
        <f t="shared" si="30"/>
        <v>Exclusive</v>
      </c>
      <c r="S42" s="111">
        <f t="shared" si="33"/>
        <v>6438.2363636363634</v>
      </c>
      <c r="T42" s="112">
        <f t="shared" si="34"/>
        <v>6438.2363636363634</v>
      </c>
      <c r="U42" s="97">
        <f t="shared" si="32"/>
        <v>7082.06</v>
      </c>
      <c r="V42" s="381">
        <f t="shared" si="32"/>
        <v>7082.06</v>
      </c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</row>
    <row r="43" spans="1:42" ht="14" x14ac:dyDescent="0.15">
      <c r="A43" s="70" t="str">
        <f>'SA Apr 2023'!K29</f>
        <v>ReAmped Energy</v>
      </c>
      <c r="B43" s="49" t="str">
        <f>'SA Apr 2023'!L29</f>
        <v>Business</v>
      </c>
      <c r="C43" s="46">
        <f>IF('SA Apr 2023'!BP29=0,91*'SA Apr 2023'!M29/100,(91*'SA Apr 2023'!M29/100)+'SA Apr 2023'!BP29/4)</f>
        <v>125.91918181818183</v>
      </c>
      <c r="D43" s="46">
        <f>IF('SA Apr 2023'!O29="",$C$28*$C$29*'SA Apr 2023'!N29/100,IF($C$28*$C$29&gt;='SA Apr 2023'!P29,('SA Apr 2023'!P29*'SA Apr 2023'!N29/100),($C$28*$C$29*'SA Apr 2023'!N29/100)))</f>
        <v>1418.1363636363635</v>
      </c>
      <c r="E43" s="46">
        <f>IF(AND('SA Apr 2023'!P29&gt;0,'SA Apr 2023'!R29&gt;0),IF($C$28*$C$29&lt;'SA Apr 2023'!P29,0,IF($C$28*$C$29&lt;=('SA Apr 2023'!R29+'SA Apr 2023'!P29),(($C$28*$C$29-'SA Apr 2023'!P29)*'SA Apr 2023'!Q29/100),(('SA Apr 2023'!R29)*'SA Apr 2023'!Q29/100))),0)</f>
        <v>0</v>
      </c>
      <c r="F43" s="46">
        <f>IF(AND('SA Apr 2023'!R29&gt;0,'SA Apr 2023'!T29&gt;0),IF(($C$28*$C$29&lt;'SA Apr 2023'!T29),(0),($C$28*$C$29-'SA Apr 2023'!T29)*'SA Apr 2023'!U29/100),IF(AND('SA Apr 2023'!R29&gt;0,'SA Apr 2023'!T29=""),IF(($C$28*$C$29&lt;'SA Apr 2023'!R29+'SA Apr 2023'!P29),(0),(($C$28*$C$29-('SA Apr 2023'!R29+'SA Apr 2023'!P29))*'SA Apr 2023'!S29/100)),IF(AND('SA Apr 2023'!P29&gt;0,'SA Apr 2023'!R29=""&gt;0),IF(($C$28*$C$29&lt;'SA Apr 2023'!P29),(0),($C$28*$C$29-'SA Apr 2023'!P29)*'SA Apr 2023'!Q29/100),0)))</f>
        <v>0</v>
      </c>
      <c r="G43" s="50">
        <f>($C$28*$C$30)*'SA Apr 2023'!AF29/100</f>
        <v>485.59090909090907</v>
      </c>
      <c r="H43" s="51">
        <v>2</v>
      </c>
      <c r="I43" s="52">
        <f t="shared" si="26"/>
        <v>2029.6464545454544</v>
      </c>
      <c r="J43" s="111">
        <f t="shared" si="31"/>
        <v>7614.9090909090901</v>
      </c>
      <c r="K43" s="109">
        <f t="shared" si="27"/>
        <v>8118.5858181818176</v>
      </c>
      <c r="L43" s="53">
        <f t="shared" si="28"/>
        <v>8930.4444000000003</v>
      </c>
      <c r="M43" s="54">
        <f>'SA Apr 2023'!BB29</f>
        <v>0</v>
      </c>
      <c r="N43" s="54">
        <f>'SA Apr 2023'!BC29</f>
        <v>0</v>
      </c>
      <c r="O43" s="54">
        <f>'SA Apr 2023'!BD29</f>
        <v>0</v>
      </c>
      <c r="P43" s="54">
        <f>'SA Apr 2023'!BE29</f>
        <v>0</v>
      </c>
      <c r="Q43" s="110" t="str">
        <f t="shared" si="35"/>
        <v>No discount</v>
      </c>
      <c r="R43" s="73" t="str">
        <f t="shared" si="30"/>
        <v>Exclusive</v>
      </c>
      <c r="S43" s="111">
        <f t="shared" si="33"/>
        <v>8118.5858181818176</v>
      </c>
      <c r="T43" s="112">
        <f t="shared" si="34"/>
        <v>8118.5858181818176</v>
      </c>
      <c r="U43" s="97">
        <f t="shared" si="32"/>
        <v>8930.4444000000003</v>
      </c>
      <c r="V43" s="381">
        <f t="shared" si="32"/>
        <v>8930.4444000000003</v>
      </c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</row>
    <row r="44" spans="1:42" ht="14" x14ac:dyDescent="0.15">
      <c r="A44" s="70" t="str">
        <f>'SA Apr 2023'!K30</f>
        <v>CovaU</v>
      </c>
      <c r="B44" s="49" t="str">
        <f>'SA Apr 2023'!L30</f>
        <v>Freedom</v>
      </c>
      <c r="C44" s="46">
        <f>IF('SA Apr 2023'!BP30=0,91*'SA Apr 2023'!M30/100,(91*'SA Apr 2023'!M30/100)+'SA Apr 2023'!BP30/4)</f>
        <v>93.324636363636358</v>
      </c>
      <c r="D44" s="46">
        <f>IF('SA Apr 2023'!O30="",$C$28*$C$29*'SA Apr 2023'!N30/100,IF($C$28*$C$29&gt;='SA Apr 2023'!P30,('SA Apr 2023'!P30*'SA Apr 2023'!N30/100),($C$28*$C$29*'SA Apr 2023'!N30/100)))</f>
        <v>1428</v>
      </c>
      <c r="E44" s="46">
        <f>IF(AND('SA Apr 2023'!P30&gt;0,'SA Apr 2023'!R30&gt;0),IF($C$28*$C$29&lt;'SA Apr 2023'!P30,0,IF($C$28*$C$29&lt;=('SA Apr 2023'!R30+'SA Apr 2023'!P30),(($C$28*$C$29-'SA Apr 2023'!P30)*'SA Apr 2023'!Q30/100),(('SA Apr 2023'!R30)*'SA Apr 2023'!Q30/100))),0)</f>
        <v>0</v>
      </c>
      <c r="F44" s="46">
        <f>IF(AND('SA Apr 2023'!R30&gt;0,'SA Apr 2023'!T30&gt;0),IF(($C$28*$C$29&lt;'SA Apr 2023'!T30),(0),($C$28*$C$29-'SA Apr 2023'!T30)*'SA Apr 2023'!U30/100),IF(AND('SA Apr 2023'!R30&gt;0,'SA Apr 2023'!T30=""),IF(($C$28*$C$29&lt;'SA Apr 2023'!R30+'SA Apr 2023'!P30),(0),(($C$28*$C$29-('SA Apr 2023'!R30+'SA Apr 2023'!P30))*'SA Apr 2023'!S30/100)),IF(AND('SA Apr 2023'!P30&gt;0,'SA Apr 2023'!R30=""&gt;0),IF(($C$28*$C$29&lt;'SA Apr 2023'!P30),(0),($C$28*$C$29-'SA Apr 2023'!P30)*'SA Apr 2023'!Q30/100),0)))</f>
        <v>0</v>
      </c>
      <c r="G44" s="50">
        <f>($C$28*$C$30)*'SA Apr 2023'!AF30/100</f>
        <v>289.77272727272725</v>
      </c>
      <c r="H44" s="51">
        <v>3</v>
      </c>
      <c r="I44" s="52">
        <f t="shared" si="26"/>
        <v>1811.0973636363635</v>
      </c>
      <c r="J44" s="111">
        <f t="shared" si="31"/>
        <v>6871.090909090909</v>
      </c>
      <c r="K44" s="109">
        <f t="shared" si="27"/>
        <v>7244.3894545454541</v>
      </c>
      <c r="L44" s="53">
        <f t="shared" si="28"/>
        <v>7968.8284000000003</v>
      </c>
      <c r="M44" s="54">
        <f>'SA Apr 2023'!BB30</f>
        <v>0</v>
      </c>
      <c r="N44" s="54">
        <f>'SA Apr 2023'!BC30</f>
        <v>0</v>
      </c>
      <c r="O44" s="54">
        <f>'SA Apr 2023'!BD30</f>
        <v>0</v>
      </c>
      <c r="P44" s="54">
        <f>'SA Apr 2023'!BE30</f>
        <v>0</v>
      </c>
      <c r="Q44" s="110" t="str">
        <f t="shared" si="35"/>
        <v>No discount</v>
      </c>
      <c r="R44" s="73" t="str">
        <f t="shared" si="30"/>
        <v>Exclusive</v>
      </c>
      <c r="S44" s="111">
        <f t="shared" si="33"/>
        <v>7244.3894545454541</v>
      </c>
      <c r="T44" s="112">
        <f t="shared" si="34"/>
        <v>7244.3894545454541</v>
      </c>
      <c r="U44" s="97">
        <f t="shared" si="32"/>
        <v>7968.8284000000003</v>
      </c>
      <c r="V44" s="381">
        <f t="shared" si="32"/>
        <v>7968.8284000000003</v>
      </c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</row>
    <row r="45" spans="1:42" ht="14" x14ac:dyDescent="0.15">
      <c r="A45" s="70" t="str">
        <f>'SA Apr 2023'!K31</f>
        <v>Sumo Power</v>
      </c>
      <c r="B45" s="49" t="str">
        <f>'SA Apr 2023'!L31</f>
        <v>Lite</v>
      </c>
      <c r="C45" s="46">
        <f>IF('SA Apr 2023'!BP31=0,91*'SA Apr 2023'!M31/100,(91*'SA Apr 2023'!M31/100)+'SA Apr 2023'!BP31/4)</f>
        <v>127.4</v>
      </c>
      <c r="D45" s="46">
        <f>IF('SA Apr 2023'!O31="",$C$28*$C$29*'SA Apr 2023'!N31/100,IF($C$28*$C$29&gt;='SA Apr 2023'!P31,('SA Apr 2023'!P31*'SA Apr 2023'!N31/100),($C$28*$C$29*'SA Apr 2023'!N31/100)))</f>
        <v>1265.409090909091</v>
      </c>
      <c r="E45" s="46">
        <f>IF(AND('SA Apr 2023'!P31&gt;0,'SA Apr 2023'!R31&gt;0),IF($C$28*$C$29&lt;'SA Apr 2023'!P31,0,IF($C$28*$C$29&lt;=('SA Apr 2023'!R31+'SA Apr 2023'!P31),(($C$28*$C$29-'SA Apr 2023'!P31)*'SA Apr 2023'!Q31/100),(('SA Apr 2023'!R31)*'SA Apr 2023'!Q31/100))),0)</f>
        <v>0</v>
      </c>
      <c r="F45" s="46">
        <f>IF(AND('SA Apr 2023'!R31&gt;0,'SA Apr 2023'!T31&gt;0),IF(($C$28*$C$29&lt;'SA Apr 2023'!T31),(0),($C$28*$C$29-'SA Apr 2023'!T31)*'SA Apr 2023'!U31/100),IF(AND('SA Apr 2023'!R31&gt;0,'SA Apr 2023'!T31=""),IF(($C$28*$C$29&lt;'SA Apr 2023'!R31+'SA Apr 2023'!P31),(0),(($C$28*$C$29-('SA Apr 2023'!R31+'SA Apr 2023'!P31))*'SA Apr 2023'!S31/100)),IF(AND('SA Apr 2023'!P31&gt;0,'SA Apr 2023'!R31=""&gt;0),IF(($C$28*$C$29&lt;'SA Apr 2023'!P31),(0),($C$28*$C$29-'SA Apr 2023'!P31)*'SA Apr 2023'!Q31/100),0)))</f>
        <v>0</v>
      </c>
      <c r="G45" s="50">
        <f>($C$28*$C$30)*'SA Apr 2023'!AF31/100</f>
        <v>277.22727272727263</v>
      </c>
      <c r="H45" s="51">
        <v>6</v>
      </c>
      <c r="I45" s="52">
        <f t="shared" si="26"/>
        <v>1670.0363636363636</v>
      </c>
      <c r="J45" s="111">
        <f t="shared" si="31"/>
        <v>6170.545454545454</v>
      </c>
      <c r="K45" s="109">
        <f t="shared" si="27"/>
        <v>6680.1454545454544</v>
      </c>
      <c r="L45" s="53">
        <f t="shared" si="28"/>
        <v>7348.1600000000008</v>
      </c>
      <c r="M45" s="54">
        <f>'SA Apr 2023'!BB31</f>
        <v>0</v>
      </c>
      <c r="N45" s="54">
        <f>'SA Apr 2023'!BC31</f>
        <v>0</v>
      </c>
      <c r="O45" s="54">
        <f>'SA Apr 2023'!BD31</f>
        <v>0</v>
      </c>
      <c r="P45" s="54">
        <f>'SA Apr 2023'!BE31</f>
        <v>0</v>
      </c>
      <c r="Q45" s="110" t="str">
        <f t="shared" si="35"/>
        <v>No discount</v>
      </c>
      <c r="R45" s="73" t="str">
        <f t="shared" si="30"/>
        <v>Exclusive</v>
      </c>
      <c r="S45" s="111">
        <f t="shared" si="33"/>
        <v>6680.1454545454544</v>
      </c>
      <c r="T45" s="112">
        <f t="shared" si="34"/>
        <v>6680.1454545454544</v>
      </c>
      <c r="U45" s="97">
        <f t="shared" si="32"/>
        <v>7348.1600000000008</v>
      </c>
      <c r="V45" s="381">
        <f t="shared" si="32"/>
        <v>7348.1600000000008</v>
      </c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</row>
    <row r="46" spans="1:42" ht="14" x14ac:dyDescent="0.15">
      <c r="A46" s="70" t="str">
        <f>'SA Apr 2023'!K32</f>
        <v>Circular Energy</v>
      </c>
      <c r="B46" s="49" t="str">
        <f>'SA Apr 2023'!L32</f>
        <v>Zero Member Fee Business</v>
      </c>
      <c r="C46" s="46">
        <f>IF('SA Apr 2023'!BP32=0,91*'SA Apr 2023'!M32/100,(91*'SA Apr 2023'!M32/100)+'SA Apr 2023'!BP32/4)</f>
        <v>125.29045454545452</v>
      </c>
      <c r="D46" s="46">
        <f>IF('SA Apr 2023'!O32="",$C$28*$C$29*'SA Apr 2023'!N32/100,IF($C$28*$C$29&gt;='SA Apr 2023'!P32,('SA Apr 2023'!P32*'SA Apr 2023'!N32/100),($C$28*$C$29*'SA Apr 2023'!N32/100)))</f>
        <v>1240.909090909091</v>
      </c>
      <c r="E46" s="46">
        <f>IF(AND('SA Apr 2023'!P32&gt;0,'SA Apr 2023'!R32&gt;0),IF($C$28*$C$29&lt;'SA Apr 2023'!P32,0,IF($C$28*$C$29&lt;=('SA Apr 2023'!R32+'SA Apr 2023'!P32),(($C$28*$C$29-'SA Apr 2023'!P32)*'SA Apr 2023'!Q32/100),(('SA Apr 2023'!R32)*'SA Apr 2023'!Q32/100))),0)</f>
        <v>0</v>
      </c>
      <c r="F46" s="46">
        <f>IF(AND('SA Apr 2023'!R32&gt;0,'SA Apr 2023'!T32&gt;0),IF(($C$28*$C$29&lt;'SA Apr 2023'!T32),(0),($C$28*$C$29-'SA Apr 2023'!T32)*'SA Apr 2023'!U32/100),IF(AND('SA Apr 2023'!R32&gt;0,'SA Apr 2023'!T32=""),IF(($C$28*$C$29&lt;'SA Apr 2023'!R32+'SA Apr 2023'!P32),(0),(($C$28*$C$29-('SA Apr 2023'!R32+'SA Apr 2023'!P32))*'SA Apr 2023'!S32/100)),IF(AND('SA Apr 2023'!P32&gt;0,'SA Apr 2023'!R32=""&gt;0),IF(($C$28*$C$29&lt;'SA Apr 2023'!P32),(0),($C$28*$C$29-'SA Apr 2023'!P32)*'SA Apr 2023'!Q32/100),0)))</f>
        <v>0</v>
      </c>
      <c r="G46" s="50">
        <f>($C$28*$C$30)*'SA Apr 2023'!AF32/100</f>
        <v>274.77272727272725</v>
      </c>
      <c r="H46" s="51">
        <v>7</v>
      </c>
      <c r="I46" s="52">
        <f t="shared" si="26"/>
        <v>1640.9722727272729</v>
      </c>
      <c r="J46" s="111">
        <f t="shared" si="31"/>
        <v>6062.727272727273</v>
      </c>
      <c r="K46" s="109">
        <f t="shared" si="27"/>
        <v>6563.8890909090915</v>
      </c>
      <c r="L46" s="53">
        <f t="shared" si="28"/>
        <v>7220.2780000000012</v>
      </c>
      <c r="M46" s="54">
        <f>'SA Apr 2023'!BB32</f>
        <v>0</v>
      </c>
      <c r="N46" s="54">
        <f>'SA Apr 2023'!BC32</f>
        <v>0</v>
      </c>
      <c r="O46" s="54">
        <f>'SA Apr 2023'!BD32</f>
        <v>0</v>
      </c>
      <c r="P46" s="54">
        <f>'SA Apr 2023'!BE32</f>
        <v>0</v>
      </c>
      <c r="Q46" s="110" t="str">
        <f t="shared" si="35"/>
        <v>No discount</v>
      </c>
      <c r="R46" s="73" t="str">
        <f t="shared" si="30"/>
        <v>Exclusive</v>
      </c>
      <c r="S46" s="111">
        <f t="shared" si="33"/>
        <v>6563.8890909090915</v>
      </c>
      <c r="T46" s="112">
        <f t="shared" si="34"/>
        <v>6563.8890909090915</v>
      </c>
      <c r="U46" s="97">
        <f t="shared" si="32"/>
        <v>7220.2780000000012</v>
      </c>
      <c r="V46" s="381">
        <f t="shared" si="32"/>
        <v>7220.2780000000012</v>
      </c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</row>
    <row r="47" spans="1:42" ht="14" x14ac:dyDescent="0.15">
      <c r="A47" s="70" t="str">
        <f>'SA Apr 2023'!K33</f>
        <v>Momentum Energy</v>
      </c>
      <c r="B47" s="49" t="str">
        <f>'SA Apr 2023'!L33</f>
        <v>Thrifty Business</v>
      </c>
      <c r="C47" s="46">
        <f>IF('SA Apr 2023'!BP33=0,91*'SA Apr 2023'!M33/100,(91*'SA Apr 2023'!M33/100)+'SA Apr 2023'!BP33/4)</f>
        <v>145.327</v>
      </c>
      <c r="D47" s="46">
        <f>IF('SA Apr 2023'!O33="",$C$28*$C$29*'SA Apr 2023'!N33/100,IF($C$28*$C$29&gt;='SA Apr 2023'!P33,('SA Apr 2023'!P33*'SA Apr 2023'!N33/100),($C$28*$C$29*'SA Apr 2023'!N33/100)))</f>
        <v>1221.5</v>
      </c>
      <c r="E47" s="46">
        <f>IF(AND('SA Apr 2023'!P33&gt;0,'SA Apr 2023'!R33&gt;0),IF($C$28*$C$29&lt;'SA Apr 2023'!P33,0,IF($C$28*$C$29&lt;=('SA Apr 2023'!R33+'SA Apr 2023'!P33),(($C$28*$C$29-'SA Apr 2023'!P33)*'SA Apr 2023'!Q33/100),(('SA Apr 2023'!R33)*'SA Apr 2023'!Q33/100))),0)</f>
        <v>0</v>
      </c>
      <c r="F47" s="46">
        <f>IF(AND('SA Apr 2023'!R33&gt;0,'SA Apr 2023'!T33&gt;0),IF(($C$28*$C$29&lt;'SA Apr 2023'!T33),(0),($C$28*$C$29-'SA Apr 2023'!T33)*'SA Apr 2023'!U33/100),IF(AND('SA Apr 2023'!R33&gt;0,'SA Apr 2023'!T33=""),IF(($C$28*$C$29&lt;'SA Apr 2023'!R33+'SA Apr 2023'!P33),(0),(($C$28*$C$29-('SA Apr 2023'!R33+'SA Apr 2023'!P33))*'SA Apr 2023'!S33/100)),IF(AND('SA Apr 2023'!P33&gt;0,'SA Apr 2023'!R33=""&gt;0),IF(($C$28*$C$29&lt;'SA Apr 2023'!P33),(0),($C$28*$C$29-'SA Apr 2023'!P33)*'SA Apr 2023'!Q33/100),0)))</f>
        <v>0</v>
      </c>
      <c r="G47" s="50">
        <f>($C$28*$C$30)*'SA Apr 2023'!AF33/100</f>
        <v>275.99999999999994</v>
      </c>
      <c r="H47" s="51">
        <v>8</v>
      </c>
      <c r="I47" s="52">
        <f t="shared" ref="I47:I48" si="36">SUM(C47:G47)</f>
        <v>1642.827</v>
      </c>
      <c r="J47" s="111">
        <f t="shared" ref="J47:J48" si="37">(I47-C47)*4</f>
        <v>5990</v>
      </c>
      <c r="K47" s="109">
        <f t="shared" ref="K47:K48" si="38">I47*4</f>
        <v>6571.308</v>
      </c>
      <c r="L47" s="53">
        <f t="shared" ref="L47:L48" si="39">K47*1.1</f>
        <v>7228.4388000000008</v>
      </c>
      <c r="M47" s="54">
        <f>'SA Apr 2023'!BB33</f>
        <v>0</v>
      </c>
      <c r="N47" s="54">
        <f>'SA Apr 2023'!BC33</f>
        <v>0</v>
      </c>
      <c r="O47" s="54">
        <f>'SA Apr 2023'!BD33</f>
        <v>0</v>
      </c>
      <c r="P47" s="54">
        <f>'SA Apr 2023'!BE33</f>
        <v>0</v>
      </c>
      <c r="Q47" s="110" t="str">
        <f t="shared" ref="Q47:Q48" si="40">IF(SUM(M47:P47)=0,"No discount",IF(M47&gt;0,"Guaranteed off bill",IF(N47&gt;0,"Guaranteed off usage",IF(O47&gt;0,"Pay-on-time off bill","Pay-on-time off usage"))))</f>
        <v>No discount</v>
      </c>
      <c r="R47" s="73" t="str">
        <f t="shared" ref="R47:R48" si="41">IF(OR(A47="Origin Energy",A47="Red Energy",A47="Powershop"),"Inclusive","Exclusive")</f>
        <v>Exclusive</v>
      </c>
      <c r="S47" s="111">
        <f t="shared" ref="S47:S48" si="42">IF(AND(Q47="Guaranteed off bill",R47="Inclusive"),((K47*1.1)-((K47*1.1)*M47/100))/1.1,IF(AND(Q47="Guaranteed off usage",R47="Inclusive"),((K47*1.1)-((J47*1.1)*N47/100))/1.1,IF(AND(Q47="Guaranteed off bill",R47="Exclusive"),K47-(K47*M47/100),IF(AND(Q47="Guaranteed off usage",R47="Exclusive"),K47-(J47*N47/100),IF(R47="Inclusive",((K47*1.1))/1.1,K47)))))</f>
        <v>6571.308</v>
      </c>
      <c r="T47" s="112">
        <f t="shared" ref="T47:T48" si="43">IF(AND(Q47="Pay-on-time off bill",R47="Inclusive"),((S47*1.1)-((S47*1.1)*O47/100))/1.1,IF(AND(Q47="Pay-on-time off usage",R47="Inclusive"),((S47*1.1)-((J47*1.1)*P47/100))/1.1,IF(AND(Q47="Pay-on-time off bill",R47="Exclusive"),S47-(S47*O47/100),IF(AND(Q47="Pay-on-time off usage",R47="Exclusive"),S47-(J47*P47/100),IF(R47="Inclusive",((S47*1.1))/1.1,S47)))))</f>
        <v>6571.308</v>
      </c>
      <c r="U47" s="97">
        <f t="shared" ref="U47:U48" si="44">S47*1.1</f>
        <v>7228.4388000000008</v>
      </c>
      <c r="V47" s="381">
        <f t="shared" ref="V47:V48" si="45">T47*1.1</f>
        <v>7228.4388000000008</v>
      </c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</row>
    <row r="48" spans="1:42" ht="15" thickBot="1" x14ac:dyDescent="0.2">
      <c r="A48" s="71" t="str">
        <f>'SA Apr 2023'!K34</f>
        <v>Next Business Energy</v>
      </c>
      <c r="B48" s="57" t="str">
        <f>'SA Apr 2023'!L34</f>
        <v xml:space="preserve">Assured </v>
      </c>
      <c r="C48" s="58">
        <f>IF('SA Apr 2023'!BP34=0,91*'SA Apr 2023'!M34/100,(91*'SA Apr 2023'!M34/100)+'SA Apr 2023'!BP34/4)</f>
        <v>111.01999999999998</v>
      </c>
      <c r="D48" s="58">
        <f>IF('SA Apr 2023'!O34="",$C$28*$C$29*'SA Apr 2023'!N34/100,IF($C$28*$C$29&gt;='SA Apr 2023'!P34,('SA Apr 2023'!P34*'SA Apr 2023'!N34/100),($C$28*$C$29*'SA Apr 2023'!N34/100)))</f>
        <v>1260.3181818181818</v>
      </c>
      <c r="E48" s="58">
        <f>IF(AND('SA Apr 2023'!P34&gt;0,'SA Apr 2023'!R34&gt;0),IF($C$28*$C$29&lt;'SA Apr 2023'!P34,0,IF($C$28*$C$29&lt;=('SA Apr 2023'!R34+'SA Apr 2023'!P34),(($C$28*$C$29-'SA Apr 2023'!P34)*'SA Apr 2023'!Q34/100),(('SA Apr 2023'!R34)*'SA Apr 2023'!Q34/100))),0)</f>
        <v>0</v>
      </c>
      <c r="F48" s="58">
        <f>IF(AND('SA Apr 2023'!R34&gt;0,'SA Apr 2023'!T34&gt;0),IF(($C$28*$C$29&lt;'SA Apr 2023'!T34),(0),($C$28*$C$29-'SA Apr 2023'!T34)*'SA Apr 2023'!U34/100),IF(AND('SA Apr 2023'!R34&gt;0,'SA Apr 2023'!T34=""),IF(($C$28*$C$29&lt;'SA Apr 2023'!R34+'SA Apr 2023'!P34),(0),(($C$28*$C$29-('SA Apr 2023'!R34+'SA Apr 2023'!P34))*'SA Apr 2023'!S34/100)),IF(AND('SA Apr 2023'!P34&gt;0,'SA Apr 2023'!R34=""&gt;0),IF(($C$28*$C$29&lt;'SA Apr 2023'!P34),(0),($C$28*$C$29-'SA Apr 2023'!P34)*'SA Apr 2023'!Q34/100),0)))</f>
        <v>0</v>
      </c>
      <c r="G48" s="59">
        <f>($C$28*$C$30)*'SA Apr 2023'!AF34/100</f>
        <v>415.22727272727275</v>
      </c>
      <c r="H48" s="60">
        <v>9</v>
      </c>
      <c r="I48" s="61">
        <f t="shared" si="36"/>
        <v>1786.5654545454545</v>
      </c>
      <c r="J48" s="113">
        <f t="shared" si="37"/>
        <v>6702.181818181818</v>
      </c>
      <c r="K48" s="116">
        <f t="shared" si="38"/>
        <v>7146.2618181818179</v>
      </c>
      <c r="L48" s="62">
        <f t="shared" si="39"/>
        <v>7860.8879999999999</v>
      </c>
      <c r="M48" s="63">
        <f>'SA Apr 2023'!BB34</f>
        <v>0</v>
      </c>
      <c r="N48" s="63">
        <f>'SA Apr 2023'!BC34</f>
        <v>0</v>
      </c>
      <c r="O48" s="63">
        <f>'SA Apr 2023'!BD34</f>
        <v>0</v>
      </c>
      <c r="P48" s="63">
        <f>'SA Apr 2023'!BE34</f>
        <v>0</v>
      </c>
      <c r="Q48" s="115" t="str">
        <f t="shared" si="40"/>
        <v>No discount</v>
      </c>
      <c r="R48" s="72" t="str">
        <f t="shared" si="41"/>
        <v>Exclusive</v>
      </c>
      <c r="S48" s="113">
        <f t="shared" si="42"/>
        <v>7146.2618181818179</v>
      </c>
      <c r="T48" s="114">
        <f t="shared" si="43"/>
        <v>7146.2618181818179</v>
      </c>
      <c r="U48" s="99">
        <f t="shared" si="44"/>
        <v>7860.8879999999999</v>
      </c>
      <c r="V48" s="382">
        <f t="shared" si="45"/>
        <v>7860.8879999999999</v>
      </c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</row>
    <row r="49" spans="1:42" ht="14" x14ac:dyDescent="0.15">
      <c r="A49" s="290"/>
      <c r="B49" s="290"/>
      <c r="C49" s="290"/>
      <c r="D49" s="293"/>
      <c r="E49" s="293"/>
      <c r="F49" s="293"/>
      <c r="G49" s="293"/>
      <c r="H49" s="293"/>
      <c r="I49" s="294"/>
      <c r="J49" s="294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</row>
    <row r="50" spans="1:42" ht="15" thickBot="1" x14ac:dyDescent="0.2">
      <c r="A50" s="290"/>
      <c r="B50" s="290"/>
      <c r="C50" s="290"/>
      <c r="D50" s="290"/>
      <c r="E50" s="290"/>
      <c r="F50" s="290"/>
      <c r="G50" s="293"/>
      <c r="H50" s="293"/>
      <c r="I50" s="294"/>
      <c r="J50" s="294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</row>
    <row r="51" spans="1:42" ht="14" x14ac:dyDescent="0.15">
      <c r="A51" s="36" t="s">
        <v>750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9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</row>
    <row r="52" spans="1:42" ht="14" x14ac:dyDescent="0.15">
      <c r="A52" s="40" t="s">
        <v>197</v>
      </c>
      <c r="B52" s="38"/>
      <c r="C52" s="47">
        <v>5000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41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</row>
    <row r="53" spans="1:42" ht="14" x14ac:dyDescent="0.15">
      <c r="A53" s="40" t="s">
        <v>85</v>
      </c>
      <c r="B53" s="38"/>
      <c r="C53" s="48">
        <v>0.3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41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</row>
    <row r="54" spans="1:42" ht="14" x14ac:dyDescent="0.15">
      <c r="A54" s="40" t="s">
        <v>753</v>
      </c>
      <c r="B54" s="38"/>
      <c r="C54" s="48">
        <v>0.4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41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</row>
    <row r="55" spans="1:42" ht="14" x14ac:dyDescent="0.15">
      <c r="A55" s="40" t="s">
        <v>172</v>
      </c>
      <c r="B55" s="38"/>
      <c r="C55" s="48">
        <v>0.3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41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</row>
    <row r="56" spans="1:42" ht="14" x14ac:dyDescent="0.15">
      <c r="A56" s="40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41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</row>
    <row r="57" spans="1:42" ht="75" x14ac:dyDescent="0.15">
      <c r="A57" s="317" t="s">
        <v>216</v>
      </c>
      <c r="B57" s="272" t="s">
        <v>198</v>
      </c>
      <c r="C57" s="274" t="s">
        <v>199</v>
      </c>
      <c r="D57" s="274" t="s">
        <v>200</v>
      </c>
      <c r="E57" s="274" t="s">
        <v>201</v>
      </c>
      <c r="F57" s="274" t="s">
        <v>164</v>
      </c>
      <c r="G57" s="274" t="s">
        <v>754</v>
      </c>
      <c r="H57" s="274" t="s">
        <v>173</v>
      </c>
      <c r="I57" s="274" t="s">
        <v>165</v>
      </c>
      <c r="J57" s="275" t="s">
        <v>544</v>
      </c>
      <c r="K57" s="276" t="s">
        <v>166</v>
      </c>
      <c r="L57" s="277" t="s">
        <v>545</v>
      </c>
      <c r="M57" s="278" t="s">
        <v>167</v>
      </c>
      <c r="N57" s="278" t="s">
        <v>168</v>
      </c>
      <c r="O57" s="278" t="s">
        <v>169</v>
      </c>
      <c r="P57" s="278" t="s">
        <v>170</v>
      </c>
      <c r="Q57" s="279" t="s">
        <v>541</v>
      </c>
      <c r="R57" s="279" t="s">
        <v>542</v>
      </c>
      <c r="S57" s="280" t="s">
        <v>546</v>
      </c>
      <c r="T57" s="280" t="s">
        <v>547</v>
      </c>
      <c r="U57" s="281" t="s">
        <v>227</v>
      </c>
      <c r="V57" s="380" t="s">
        <v>272</v>
      </c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</row>
    <row r="58" spans="1:42" ht="14" x14ac:dyDescent="0.15">
      <c r="A58" s="70" t="str">
        <f>'SA Apr 2023'!K35</f>
        <v>AGL</v>
      </c>
      <c r="B58" s="49" t="str">
        <f>'SA Apr 2023'!L35</f>
        <v>Business Value Saver</v>
      </c>
      <c r="C58" s="46">
        <f>IF('SA Apr 2023'!BP35=0,91*'SA Apr 2023'!M35/100,(91*'SA Apr 2023'!M35/100)+'SA Apr 2023'!BP35/4)</f>
        <v>111.21027272727271</v>
      </c>
      <c r="D58" s="46">
        <f>IF('SA Apr 2023'!O35="",$C$52*$C$53*'SA Apr 2023'!N35/100,IF($C$52*$C$53&gt;='SA Apr 2023'!P35,('SA Apr 2023'!P35*'SA Apr 2023'!N35/100),($C$52*$C$53*'SA Apr 2023'!N35/100)))</f>
        <v>581.45454545454538</v>
      </c>
      <c r="E58" s="46">
        <f>IF(AND('SA Apr 2023'!P35&gt;0,'SA Apr 2023'!R35&gt;0),IF($C$52*$C$53&lt;'SA Apr 2023'!P35,0,IF($C$52*$C$53&lt;=('SA Apr 2023'!R35+'SA Apr 2023'!P35),(($C$52*$C$53-'SA Apr 2023'!P35)*'SA Apr 2023'!Q35/100),(('SA Apr 2023'!R35)*'SA Apr 2023'!Q35/100))),0)</f>
        <v>0</v>
      </c>
      <c r="F58" s="50">
        <f>IF(AND('SA Apr 2023'!R35&gt;0,'SA Apr 2023'!T35&gt;0),IF(($C$52*$C$53&lt;'SA Apr 2023'!T35),(0),($C$52*$C$53-'SA Apr 2023'!T35)*'SA Apr 2023'!U35/100),IF(AND('SA Apr 2023'!R35&gt;0,'SA Apr 2023'!T35=""),IF(($C$52*$C$53&lt;'SA Apr 2023'!R35+'SA Apr 2023'!P35),(0),(($C$52*$C$53-('SA Apr 2023'!R35+'SA Apr 2023'!P35))*'SA Apr 2023'!S35/100)),IF(AND('SA Apr 2023'!P35&gt;0,'SA Apr 2023'!R35=""&gt;0),IF(($C$52*$C$53&lt;'SA Apr 2023'!P35),(0),($C$52*$C$53-'SA Apr 2023'!P35)*'SA Apr 2023'!Q35/100),0)))</f>
        <v>0</v>
      </c>
      <c r="G58" s="328">
        <f>($C$52*$C$54)*'SA Apr 2023'!AI35/100</f>
        <v>645.4545454545455</v>
      </c>
      <c r="H58" s="51">
        <f>($C$52*$C$55)*'SA Apr 2023'!W35/100</f>
        <v>393.81818181818176</v>
      </c>
      <c r="I58" s="52">
        <f t="shared" ref="I58:I79" si="46">SUM(C58:H58)</f>
        <v>1731.9375454545454</v>
      </c>
      <c r="J58" s="109">
        <f t="shared" ref="J58:J79" si="47">(I58-C58)*4</f>
        <v>6482.909090909091</v>
      </c>
      <c r="K58" s="109">
        <f t="shared" ref="K58:K79" si="48">I58*4</f>
        <v>6927.7501818181818</v>
      </c>
      <c r="L58" s="53">
        <f t="shared" ref="L58:L79" si="49">K58*1.1</f>
        <v>7620.525200000001</v>
      </c>
      <c r="M58" s="54">
        <f>'SA Apr 2023'!BB35</f>
        <v>0</v>
      </c>
      <c r="N58" s="54">
        <f>'SA Apr 2023'!BC35</f>
        <v>0</v>
      </c>
      <c r="O58" s="54">
        <f>'SA Apr 2023'!BD35</f>
        <v>0</v>
      </c>
      <c r="P58" s="54">
        <f>'SA Apr 2023'!BE35</f>
        <v>0</v>
      </c>
      <c r="Q58" s="110" t="str">
        <f t="shared" ref="Q58:Q69" si="50">IF(SUM(M58:P58)=0,"No discount",IF(M58&gt;0,"Guaranteed off bill",IF(N58&gt;0,"Guaranteed off usage",IF(O58&gt;0,"Pay-on-time off bill","Pay-on-time off usage"))))</f>
        <v>No discount</v>
      </c>
      <c r="R58" s="73" t="str">
        <f t="shared" ref="R58:R79" si="51">IF(OR(A58="Origin Energy",A58="Red Energy",A58="Powershop"),"Inclusive","Exclusive")</f>
        <v>Exclusive</v>
      </c>
      <c r="S58" s="111">
        <f>IF(AND(Q58="Guaranteed off bill",R58="Inclusive"),((K58*1.1)-((K58*1.1)*M58/100))/1.1,IF(AND(Q58="Guaranteed off usage",R58="Inclusive"),((K58*1.1)-((J58*1.1)*N58/100))/1.1,IF(AND(Q58="Guaranteed off bill",R58="Exclusive"),K58-(K58*M58/100),IF(AND(Q58="Guaranteed off usage",R58="Exclusive"),K58-(J58*N58/100),IF(R58="Inclusive",((K58*1.1))/1.1,K58)))))</f>
        <v>6927.7501818181818</v>
      </c>
      <c r="T58" s="112">
        <f>IF(AND(Q58="Pay-on-time off bill",R58="Inclusive"),((S58*1.1)-((S58*1.1)*O58/100))/1.1,IF(AND(Q58="Pay-on-time off usage",R58="Inclusive"),((S58*1.1)-((J58*1.1)*P58/100))/1.1,IF(AND(Q58="Pay-on-time off bill",R58="Exclusive"),S58-(S58*O58/100),IF(AND(Q58="Pay-on-time off usage",R58="Exclusive"),S58-(J58*P58/100),IF(R58="Inclusive",((S58*1.1))/1.1,S58)))))</f>
        <v>6927.7501818181818</v>
      </c>
      <c r="U58" s="97">
        <f>S58*1.1</f>
        <v>7620.525200000001</v>
      </c>
      <c r="V58" s="381">
        <f>T58*1.1</f>
        <v>7620.525200000001</v>
      </c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</row>
    <row r="59" spans="1:42" ht="15" thickBot="1" x14ac:dyDescent="0.2">
      <c r="A59" s="71" t="str">
        <f>'SA Apr 2023'!K36</f>
        <v>Circular Energy</v>
      </c>
      <c r="B59" s="57" t="str">
        <f>'SA Apr 2023'!L36</f>
        <v>Zero Member Fee Business</v>
      </c>
      <c r="C59" s="58">
        <f>IF('SA Apr 2023'!BP36=0,91*'SA Apr 2023'!M36/100,(91*'SA Apr 2023'!M36/100)+'SA Apr 2023'!BP36/4)</f>
        <v>124.3390909090909</v>
      </c>
      <c r="D59" s="58">
        <f>IF('SA Apr 2023'!O36="",$C$52*$C$53*'SA Apr 2023'!N36/100,IF($C$52*$C$53&gt;='SA Apr 2023'!P36,('SA Apr 2023'!P36*'SA Apr 2023'!N36/100),($C$52*$C$53*'SA Apr 2023'!N36/100)))</f>
        <v>579.5454545454545</v>
      </c>
      <c r="E59" s="58">
        <f>IF(AND('SA Apr 2023'!P36&gt;0,'SA Apr 2023'!R36&gt;0),IF($C$52*$C$53&lt;'SA Apr 2023'!P36,0,IF($C$52*$C$53&lt;=('SA Apr 2023'!R36+'SA Apr 2023'!P36),(($C$52*$C$53-'SA Apr 2023'!P36)*'SA Apr 2023'!Q36/100),(('SA Apr 2023'!R36)*'SA Apr 2023'!Q36/100))),0)</f>
        <v>0</v>
      </c>
      <c r="F59" s="59">
        <f>IF(AND('SA Apr 2023'!R36&gt;0,'SA Apr 2023'!T36&gt;0),IF(($C$52*$C$53&lt;'SA Apr 2023'!T36),(0),($C$52*$C$53-'SA Apr 2023'!T36)*'SA Apr 2023'!U36/100),IF(AND('SA Apr 2023'!R36&gt;0,'SA Apr 2023'!T36=""),IF(($C$52*$C$53&lt;'SA Apr 2023'!R36+'SA Apr 2023'!P36),(0),(($C$52*$C$53-('SA Apr 2023'!R36+'SA Apr 2023'!P36))*'SA Apr 2023'!S36/100)),IF(AND('SA Apr 2023'!P36&gt;0,'SA Apr 2023'!R36=""&gt;0),IF(($C$52*$C$53&lt;'SA Apr 2023'!P36),(0),($C$52*$C$53-'SA Apr 2023'!P36)*'SA Apr 2023'!Q36/100),0)))</f>
        <v>0</v>
      </c>
      <c r="G59" s="329">
        <f>($C$52*$C$54)*'SA Apr 2023'!AI36/100</f>
        <v>681.81818181818176</v>
      </c>
      <c r="H59" s="60">
        <f>($C$52*$C$55)*'SA Apr 2023'!W36/100</f>
        <v>368.31818181818181</v>
      </c>
      <c r="I59" s="61">
        <f t="shared" si="46"/>
        <v>1754.0209090909091</v>
      </c>
      <c r="J59" s="116">
        <f t="shared" si="47"/>
        <v>6518.727272727273</v>
      </c>
      <c r="K59" s="116">
        <f t="shared" si="48"/>
        <v>7016.0836363636363</v>
      </c>
      <c r="L59" s="62">
        <f t="shared" si="49"/>
        <v>7717.6920000000009</v>
      </c>
      <c r="M59" s="63">
        <f>'SA Apr 2023'!BB36</f>
        <v>0</v>
      </c>
      <c r="N59" s="63">
        <f>'SA Apr 2023'!BC36</f>
        <v>0</v>
      </c>
      <c r="O59" s="63">
        <f>'SA Apr 2023'!BD36</f>
        <v>0</v>
      </c>
      <c r="P59" s="63">
        <f>'SA Apr 2023'!BE36</f>
        <v>0</v>
      </c>
      <c r="Q59" s="115" t="str">
        <f t="shared" si="50"/>
        <v>No discount</v>
      </c>
      <c r="R59" s="72" t="str">
        <f t="shared" si="51"/>
        <v>Exclusive</v>
      </c>
      <c r="S59" s="113">
        <f t="shared" ref="S59:S79" si="52"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7016.0836363636363</v>
      </c>
      <c r="T59" s="114">
        <f t="shared" ref="T59:T79" si="53">IF(AND(Q59="Pay-on-time off bill",R59="Inclusive"),((S59*1.1)-((S59*1.1)*O59/100))/1.1,IF(AND(Q59="Pay-on-time off usage",R59="Inclusive"),((S59*1.1)-((J59*1.1)*P59/100))/1.1,IF(AND(Q59="Pay-on-time off bill",R59="Exclusive"),S59-(S59*O59/100),IF(AND(Q59="Pay-on-time off usage",R59="Exclusive"),S59-(J59*P59/100),IF(R59="Inclusive",((S59*1.1))/1.1,S59)))))</f>
        <v>7016.0836363636363</v>
      </c>
      <c r="U59" s="99">
        <f t="shared" ref="U59:V76" si="54">S59*1.1</f>
        <v>7717.6920000000009</v>
      </c>
      <c r="V59" s="382">
        <f t="shared" si="54"/>
        <v>7717.6920000000009</v>
      </c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</row>
    <row r="60" spans="1:42" ht="14" x14ac:dyDescent="0.15">
      <c r="A60" s="290"/>
      <c r="B60" s="290"/>
      <c r="C60" s="290"/>
      <c r="D60" s="293"/>
      <c r="E60" s="293"/>
      <c r="F60" s="293"/>
      <c r="G60" s="293"/>
      <c r="H60" s="293"/>
      <c r="I60" s="294"/>
      <c r="J60" s="294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</row>
    <row r="61" spans="1:42" ht="15" thickBot="1" x14ac:dyDescent="0.2">
      <c r="A61" s="290"/>
      <c r="B61" s="290"/>
      <c r="C61" s="290"/>
      <c r="D61" s="290"/>
      <c r="E61" s="290"/>
      <c r="F61" s="290"/>
      <c r="G61" s="293"/>
      <c r="H61" s="293"/>
      <c r="I61" s="294"/>
      <c r="J61" s="294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</row>
    <row r="62" spans="1:42" ht="14" x14ac:dyDescent="0.15">
      <c r="A62" s="36" t="s">
        <v>417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9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</row>
    <row r="63" spans="1:42" ht="14" x14ac:dyDescent="0.15">
      <c r="A63" s="40" t="s">
        <v>197</v>
      </c>
      <c r="B63" s="38"/>
      <c r="C63" s="47">
        <v>5000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41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</row>
    <row r="64" spans="1:42" ht="14" x14ac:dyDescent="0.15">
      <c r="A64" s="40" t="s">
        <v>85</v>
      </c>
      <c r="B64" s="38"/>
      <c r="C64" s="48">
        <v>0.6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41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</row>
    <row r="65" spans="1:42" ht="14" x14ac:dyDescent="0.15">
      <c r="A65" s="40" t="s">
        <v>172</v>
      </c>
      <c r="B65" s="38"/>
      <c r="C65" s="48">
        <v>0.4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41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</row>
    <row r="66" spans="1:42" ht="14" x14ac:dyDescent="0.15">
      <c r="A66" s="40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41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</row>
    <row r="67" spans="1:42" ht="75" x14ac:dyDescent="0.15">
      <c r="A67" s="317" t="s">
        <v>216</v>
      </c>
      <c r="B67" s="272" t="s">
        <v>198</v>
      </c>
      <c r="C67" s="274" t="s">
        <v>199</v>
      </c>
      <c r="D67" s="274" t="s">
        <v>200</v>
      </c>
      <c r="E67" s="274" t="s">
        <v>201</v>
      </c>
      <c r="F67" s="274" t="s">
        <v>202</v>
      </c>
      <c r="G67" s="274" t="s">
        <v>164</v>
      </c>
      <c r="H67" s="274" t="s">
        <v>173</v>
      </c>
      <c r="I67" s="274" t="s">
        <v>165</v>
      </c>
      <c r="J67" s="275" t="s">
        <v>544</v>
      </c>
      <c r="K67" s="276" t="s">
        <v>166</v>
      </c>
      <c r="L67" s="277" t="s">
        <v>545</v>
      </c>
      <c r="M67" s="278" t="s">
        <v>167</v>
      </c>
      <c r="N67" s="278" t="s">
        <v>168</v>
      </c>
      <c r="O67" s="278" t="s">
        <v>169</v>
      </c>
      <c r="P67" s="278" t="s">
        <v>170</v>
      </c>
      <c r="Q67" s="279" t="s">
        <v>541</v>
      </c>
      <c r="R67" s="279" t="s">
        <v>542</v>
      </c>
      <c r="S67" s="280" t="s">
        <v>546</v>
      </c>
      <c r="T67" s="280" t="s">
        <v>547</v>
      </c>
      <c r="U67" s="281" t="s">
        <v>227</v>
      </c>
      <c r="V67" s="380" t="s">
        <v>272</v>
      </c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</row>
    <row r="68" spans="1:42" ht="14" x14ac:dyDescent="0.15">
      <c r="A68" s="70" t="str">
        <f>'SA Apr 2023'!K37</f>
        <v>Alinta Energy</v>
      </c>
      <c r="B68" s="49" t="str">
        <f>'SA Apr 2023'!L37</f>
        <v>BusinessDeal</v>
      </c>
      <c r="C68" s="46">
        <f>IF('SA Apr 2023'!BP37=0,91*'SA Apr 2023'!M37/100,(91*'SA Apr 2023'!M37/100)+'SA Apr 2023'!BP37/4)</f>
        <v>84.737545454545455</v>
      </c>
      <c r="D68" s="46">
        <f>IF('SA Apr 2023'!O37="",$C$63*$C$64*'SA Apr 2023'!N37/100,IF($C$63*$C$64&gt;='SA Apr 2023'!P37,('SA Apr 2023'!P37*'SA Apr 2023'!N37/100),($C$63*$C$64*'SA Apr 2023'!N37/100)))</f>
        <v>1394.9999999999998</v>
      </c>
      <c r="E68" s="46">
        <f>IF(AND('SA Apr 2023'!P37&gt;0,'SA Apr 2023'!R37&gt;0),IF($C$63*$C$64&lt;'SA Apr 2023'!P37,0,IF($C$63*$C$64&lt;=('SA Apr 2023'!R37+'SA Apr 2023'!P37),(($C$63*$C$64-'SA Apr 2023'!P37)*'SA Apr 2023'!Q37/100),(('SA Apr 2023'!R37)*'SA Apr 2023'!Q37/100))),0)</f>
        <v>0</v>
      </c>
      <c r="F68" s="50">
        <f>IF(AND('SA Apr 2023'!R37&gt;0,'SA Apr 2023'!T37&gt;0),IF(($C$63*$C$64&lt;'SA Apr 2023'!T37),(0),($C$63*$C$64-'SA Apr 2023'!T37)*'SA Apr 2023'!U37/100),IF(AND('SA Apr 2023'!R37&gt;0,'SA Apr 2023'!T37=""),IF(($C$63*$C$64&lt;'SA Apr 2023'!R37+'SA Apr 2023'!P37),(0),(($C$63*$C$64-('SA Apr 2023'!R37+'SA Apr 2023'!P37))*'SA Apr 2023'!S37/100)),IF(AND('SA Apr 2023'!P37&gt;0,'SA Apr 2023'!R37=""&gt;0),IF(($C$63*$C$64&lt;'SA Apr 2023'!P37),(0),($C$63*$C$64-'SA Apr 2023'!P37)*'SA Apr 2023'!Q37/100),0)))</f>
        <v>0</v>
      </c>
      <c r="G68" s="328">
        <v>0</v>
      </c>
      <c r="H68" s="51">
        <f>($C$63*$C$65)*'SA Apr 2023'!W37/100</f>
        <v>555.27272727272725</v>
      </c>
      <c r="I68" s="52">
        <f t="shared" si="46"/>
        <v>2035.0102727272724</v>
      </c>
      <c r="J68" s="109">
        <f t="shared" si="47"/>
        <v>7801.0909090909081</v>
      </c>
      <c r="K68" s="109">
        <f t="shared" si="48"/>
        <v>8140.0410909090897</v>
      </c>
      <c r="L68" s="53">
        <f t="shared" si="49"/>
        <v>8954.0451999999987</v>
      </c>
      <c r="M68" s="54">
        <f>'SA Apr 2023'!BB37</f>
        <v>0</v>
      </c>
      <c r="N68" s="54">
        <f>'SA Apr 2023'!BC37</f>
        <v>0</v>
      </c>
      <c r="O68" s="54">
        <f>'SA Apr 2023'!BD37</f>
        <v>0</v>
      </c>
      <c r="P68" s="54">
        <f>'SA Apr 2023'!BE37</f>
        <v>0</v>
      </c>
      <c r="Q68" s="110" t="str">
        <f t="shared" si="50"/>
        <v>No discount</v>
      </c>
      <c r="R68" s="73" t="str">
        <f t="shared" si="51"/>
        <v>Exclusive</v>
      </c>
      <c r="S68" s="111">
        <f t="shared" si="52"/>
        <v>8140.0410909090897</v>
      </c>
      <c r="T68" s="112">
        <f t="shared" si="53"/>
        <v>8140.0410909090897</v>
      </c>
      <c r="U68" s="97">
        <f t="shared" si="54"/>
        <v>8954.0451999999987</v>
      </c>
      <c r="V68" s="381">
        <f t="shared" si="54"/>
        <v>8954.0451999999987</v>
      </c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</row>
    <row r="69" spans="1:42" ht="14" x14ac:dyDescent="0.15">
      <c r="A69" s="70" t="str">
        <f>'SA Apr 2023'!K38</f>
        <v>Diamond Energy</v>
      </c>
      <c r="B69" s="49" t="str">
        <f>'SA Apr 2023'!L38</f>
        <v xml:space="preserve">Renewable Saver </v>
      </c>
      <c r="C69" s="46">
        <f>IF('SA Apr 2023'!BP38=0,91*'SA Apr 2023'!M38/100,(91*'SA Apr 2023'!M38/100)+'SA Apr 2023'!BP38/4)</f>
        <v>97.121818181818185</v>
      </c>
      <c r="D69" s="46">
        <f>IF('SA Apr 2023'!O38="",$C$63*$C$64*'SA Apr 2023'!N38/100,IF($C$63*$C$64&gt;='SA Apr 2023'!P38,('SA Apr 2023'!P38*'SA Apr 2023'!N38/100),($C$63*$C$64*'SA Apr 2023'!N38/100)))</f>
        <v>416.36363636363632</v>
      </c>
      <c r="E69" s="46">
        <f>IF(AND('SA Apr 2023'!P38&gt;0,'SA Apr 2023'!R38&gt;0),IF($C$63*$C$64&lt;'SA Apr 2023'!P38,0,IF($C$63*$C$64&lt;=('SA Apr 2023'!R38+'SA Apr 2023'!P38),(($C$63*$C$64-'SA Apr 2023'!P38)*'SA Apr 2023'!Q38/100),(('SA Apr 2023'!R38)*'SA Apr 2023'!Q38/100))),0)</f>
        <v>701.04545454545439</v>
      </c>
      <c r="F69" s="50">
        <f>IF(AND('SA Apr 2023'!R38&gt;0,'SA Apr 2023'!T38&gt;0),IF(($C$63*$C$64&lt;'SA Apr 2023'!T38),(0),($C$63*$C$64-'SA Apr 2023'!T38)*'SA Apr 2023'!U38/100),IF(AND('SA Apr 2023'!R38&gt;0,'SA Apr 2023'!T38=""),IF(($C$63*$C$64&lt;'SA Apr 2023'!R38+'SA Apr 2023'!P38),(0),(($C$63*$C$64-('SA Apr 2023'!R38+'SA Apr 2023'!P38))*'SA Apr 2023'!S38/100)),IF(AND('SA Apr 2023'!P38&gt;0,'SA Apr 2023'!R38=""&gt;0),IF(($C$63*$C$64&lt;'SA Apr 2023'!P38),(0),($C$63*$C$64-'SA Apr 2023'!P38)*'SA Apr 2023'!Q38/100),0)))</f>
        <v>251.36363636363632</v>
      </c>
      <c r="G69" s="328">
        <v>0</v>
      </c>
      <c r="H69" s="51">
        <f>($C$63*$C$65)*'SA Apr 2023'!W38/100</f>
        <v>541.09090909090912</v>
      </c>
      <c r="I69" s="52">
        <f t="shared" si="46"/>
        <v>2006.9854545454546</v>
      </c>
      <c r="J69" s="109">
        <f t="shared" si="47"/>
        <v>7639.454545454546</v>
      </c>
      <c r="K69" s="109">
        <f t="shared" si="48"/>
        <v>8027.9418181818182</v>
      </c>
      <c r="L69" s="53">
        <f t="shared" si="49"/>
        <v>8830.7360000000008</v>
      </c>
      <c r="M69" s="54">
        <f>'SA Apr 2023'!BB38</f>
        <v>0</v>
      </c>
      <c r="N69" s="54">
        <f>'SA Apr 2023'!BC38</f>
        <v>0</v>
      </c>
      <c r="O69" s="54">
        <f>'SA Apr 2023'!BD38</f>
        <v>2</v>
      </c>
      <c r="P69" s="54">
        <f>'SA Apr 2023'!BE38</f>
        <v>0</v>
      </c>
      <c r="Q69" s="110" t="str">
        <f t="shared" si="50"/>
        <v>Pay-on-time off bill</v>
      </c>
      <c r="R69" s="73" t="str">
        <f t="shared" si="51"/>
        <v>Exclusive</v>
      </c>
      <c r="S69" s="111">
        <f t="shared" si="52"/>
        <v>8027.9418181818182</v>
      </c>
      <c r="T69" s="112">
        <f t="shared" si="53"/>
        <v>7867.3829818181821</v>
      </c>
      <c r="U69" s="97">
        <f t="shared" si="54"/>
        <v>8830.7360000000008</v>
      </c>
      <c r="V69" s="381">
        <f t="shared" si="54"/>
        <v>8654.1212800000012</v>
      </c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</row>
    <row r="70" spans="1:42" ht="14" x14ac:dyDescent="0.15">
      <c r="A70" s="70" t="str">
        <f>'SA Apr 2023'!K39</f>
        <v>EnergyAustralia</v>
      </c>
      <c r="B70" s="49" t="str">
        <f>'SA Apr 2023'!L39</f>
        <v>Balance Plan</v>
      </c>
      <c r="C70" s="46">
        <f>IF('SA Apr 2023'!BP39=0,91*'SA Apr 2023'!M39/100,(91*'SA Apr 2023'!M39/100)+'SA Apr 2023'!BP39/4)</f>
        <v>98.734999999999985</v>
      </c>
      <c r="D70" s="46">
        <f>IF('SA Apr 2023'!O39="",$C$63*$C$64*'SA Apr 2023'!N39/100,IF($C$63*$C$64&gt;='SA Apr 2023'!P39,('SA Apr 2023'!P39*'SA Apr 2023'!N39/100),($C$63*$C$64*'SA Apr 2023'!N39/100)))</f>
        <v>1485</v>
      </c>
      <c r="E70" s="46">
        <f>IF(AND('SA Apr 2023'!P39&gt;0,'SA Apr 2023'!R39&gt;0),IF($C$63*$C$64&lt;'SA Apr 2023'!P39,0,IF($C$63*$C$64&lt;=('SA Apr 2023'!R39+'SA Apr 2023'!P39),(($C$63*$C$64-'SA Apr 2023'!P39)*'SA Apr 2023'!Q39/100),(('SA Apr 2023'!R39)*'SA Apr 2023'!Q39/100))),0)</f>
        <v>0</v>
      </c>
      <c r="F70" s="50">
        <f>IF(AND('SA Apr 2023'!R39&gt;0,'SA Apr 2023'!T39&gt;0),IF(($C$63*$C$64&lt;'SA Apr 2023'!T39),(0),($C$63*$C$64-'SA Apr 2023'!T39)*'SA Apr 2023'!U39/100),IF(AND('SA Apr 2023'!R39&gt;0,'SA Apr 2023'!T39=""),IF(($C$63*$C$64&lt;'SA Apr 2023'!R39+'SA Apr 2023'!P39),(0),(($C$63*$C$64-('SA Apr 2023'!R39+'SA Apr 2023'!P39))*'SA Apr 2023'!S39/100)),IF(AND('SA Apr 2023'!P39&gt;0,'SA Apr 2023'!R39=""&gt;0),IF(($C$63*$C$64&lt;'SA Apr 2023'!P39),(0),($C$63*$C$64-'SA Apr 2023'!P39)*'SA Apr 2023'!Q39/100),0)))</f>
        <v>0</v>
      </c>
      <c r="G70" s="328">
        <v>0</v>
      </c>
      <c r="H70" s="51">
        <f>($C$63*$C$65)*'SA Apr 2023'!W39/100</f>
        <v>574.5454545454545</v>
      </c>
      <c r="I70" s="52">
        <f t="shared" si="46"/>
        <v>2158.2804545454546</v>
      </c>
      <c r="J70" s="109">
        <f t="shared" si="47"/>
        <v>8238.181818181818</v>
      </c>
      <c r="K70" s="109">
        <f t="shared" si="48"/>
        <v>8633.1218181818185</v>
      </c>
      <c r="L70" s="53">
        <f t="shared" si="49"/>
        <v>9496.4340000000011</v>
      </c>
      <c r="M70" s="54">
        <f>'SA Apr 2023'!BB39</f>
        <v>2</v>
      </c>
      <c r="N70" s="54">
        <f>'SA Apr 2023'!BC39</f>
        <v>0</v>
      </c>
      <c r="O70" s="54">
        <f>'SA Apr 2023'!BD39</f>
        <v>0</v>
      </c>
      <c r="P70" s="54">
        <f>'SA Apr 2023'!BE39</f>
        <v>0</v>
      </c>
      <c r="Q70" s="110" t="str">
        <f t="shared" ref="Q70:Q79" si="55">IF(SUM(M70:P70)=0,"No discount",IF(M70&gt;0,"Guaranteed off bill",IF(N70&gt;0,"Guaranteed off usage",IF(O70&gt;0,"Pay-on-time off bill","Pay-on-time off usage"))))</f>
        <v>Guaranteed off bill</v>
      </c>
      <c r="R70" s="73" t="str">
        <f t="shared" si="51"/>
        <v>Exclusive</v>
      </c>
      <c r="S70" s="111">
        <f t="shared" si="52"/>
        <v>8460.459381818182</v>
      </c>
      <c r="T70" s="112">
        <f t="shared" si="53"/>
        <v>8460.459381818182</v>
      </c>
      <c r="U70" s="97">
        <f t="shared" si="54"/>
        <v>9306.5053200000002</v>
      </c>
      <c r="V70" s="381">
        <f t="shared" si="54"/>
        <v>9306.5053200000002</v>
      </c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</row>
    <row r="71" spans="1:42" ht="14" x14ac:dyDescent="0.15">
      <c r="A71" s="70" t="str">
        <f>'SA Apr 2023'!K40</f>
        <v>Lumo Energy</v>
      </c>
      <c r="B71" s="49" t="str">
        <f>'SA Apr 2023'!L40</f>
        <v>Basic</v>
      </c>
      <c r="C71" s="46">
        <f>IF('SA Apr 2023'!BP40=0,91*'SA Apr 2023'!M40/100,(91*'SA Apr 2023'!M40/100)+'SA Apr 2023'!BP40/4)</f>
        <v>118.3</v>
      </c>
      <c r="D71" s="46">
        <f>IF('SA Apr 2023'!O40="",$C$63*$C$64*'SA Apr 2023'!N40/100,IF($C$63*$C$64&gt;='SA Apr 2023'!P40,('SA Apr 2023'!P40*'SA Apr 2023'!N40/100),($C$63*$C$64*'SA Apr 2023'!N40/100)))</f>
        <v>1168.6363636363635</v>
      </c>
      <c r="E71" s="46">
        <f>IF(AND('SA Apr 2023'!P40&gt;0,'SA Apr 2023'!R40&gt;0),IF($C$63*$C$64&lt;'SA Apr 2023'!P40,0,IF($C$63*$C$64&lt;=('SA Apr 2023'!R40+'SA Apr 2023'!P40),(($C$63*$C$64-'SA Apr 2023'!P40)*'SA Apr 2023'!Q40/100),(('SA Apr 2023'!R40)*'SA Apr 2023'!Q40/100))),0)</f>
        <v>0</v>
      </c>
      <c r="F71" s="50">
        <f>IF(AND('SA Apr 2023'!R40&gt;0,'SA Apr 2023'!T40&gt;0),IF(($C$63*$C$64&lt;'SA Apr 2023'!T40),(0),($C$63*$C$64-'SA Apr 2023'!T40)*'SA Apr 2023'!U40/100),IF(AND('SA Apr 2023'!R40&gt;0,'SA Apr 2023'!T40=""),IF(($C$63*$C$64&lt;'SA Apr 2023'!R40+'SA Apr 2023'!P40),(0),(($C$63*$C$64-('SA Apr 2023'!R40+'SA Apr 2023'!P40))*'SA Apr 2023'!S40/100)),IF(AND('SA Apr 2023'!P40&gt;0,'SA Apr 2023'!R40=""&gt;0),IF(($C$63*$C$64&lt;'SA Apr 2023'!P40),(0),($C$63*$C$64-'SA Apr 2023'!P40)*'SA Apr 2023'!Q40/100),0)))</f>
        <v>0</v>
      </c>
      <c r="G71" s="328">
        <v>0</v>
      </c>
      <c r="H71" s="51">
        <f>($C$63*$C$65)*'SA Apr 2023'!W40/100</f>
        <v>499.63636363636363</v>
      </c>
      <c r="I71" s="52">
        <f t="shared" si="46"/>
        <v>1786.5727272727272</v>
      </c>
      <c r="J71" s="109">
        <f t="shared" si="47"/>
        <v>6673.090909090909</v>
      </c>
      <c r="K71" s="109">
        <f t="shared" si="48"/>
        <v>7146.2909090909088</v>
      </c>
      <c r="L71" s="53">
        <f t="shared" si="49"/>
        <v>7860.92</v>
      </c>
      <c r="M71" s="54">
        <f>'SA Apr 2023'!BB40</f>
        <v>0</v>
      </c>
      <c r="N71" s="54">
        <f>'SA Apr 2023'!BC40</f>
        <v>0</v>
      </c>
      <c r="O71" s="54">
        <f>'SA Apr 2023'!BD40</f>
        <v>0</v>
      </c>
      <c r="P71" s="54">
        <f>'SA Apr 2023'!BE40</f>
        <v>0</v>
      </c>
      <c r="Q71" s="110" t="str">
        <f t="shared" si="55"/>
        <v>No discount</v>
      </c>
      <c r="R71" s="73" t="str">
        <f t="shared" si="51"/>
        <v>Exclusive</v>
      </c>
      <c r="S71" s="111">
        <f t="shared" si="52"/>
        <v>7146.2909090909088</v>
      </c>
      <c r="T71" s="112">
        <f t="shared" si="53"/>
        <v>7146.2909090909088</v>
      </c>
      <c r="U71" s="97">
        <f t="shared" si="54"/>
        <v>7860.92</v>
      </c>
      <c r="V71" s="381">
        <f t="shared" si="54"/>
        <v>7860.92</v>
      </c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</row>
    <row r="72" spans="1:42" ht="14" x14ac:dyDescent="0.15">
      <c r="A72" s="70" t="str">
        <f>'SA Apr 2023'!K41</f>
        <v>Origin Energy</v>
      </c>
      <c r="B72" s="49" t="str">
        <f>'SA Apr 2023'!L41</f>
        <v>Go Variable</v>
      </c>
      <c r="C72" s="46">
        <f>IF('SA Apr 2023'!BP41=0,91*'SA Apr 2023'!M41/100,(91*'SA Apr 2023'!M41/100)+'SA Apr 2023'!BP41/4)</f>
        <v>83.562818181818187</v>
      </c>
      <c r="D72" s="46">
        <f>IF('SA Apr 2023'!O41="",$C$63*$C$64*'SA Apr 2023'!N41/100,IF($C$63*$C$64&gt;='SA Apr 2023'!P41,('SA Apr 2023'!P41*'SA Apr 2023'!N41/100),($C$63*$C$64*'SA Apr 2023'!N41/100)))</f>
        <v>1137.8181818181815</v>
      </c>
      <c r="E72" s="46">
        <f>IF(AND('SA Apr 2023'!P41&gt;0,'SA Apr 2023'!R41&gt;0),IF($C$63*$C$64&lt;'SA Apr 2023'!P41,0,IF($C$63*$C$64&lt;=('SA Apr 2023'!R41+'SA Apr 2023'!P41),(($C$63*$C$64-'SA Apr 2023'!P41)*'SA Apr 2023'!Q41/100),(('SA Apr 2023'!R41)*'SA Apr 2023'!Q41/100))),0)</f>
        <v>0</v>
      </c>
      <c r="F72" s="50">
        <f>IF(AND('SA Apr 2023'!R41&gt;0,'SA Apr 2023'!T41&gt;0),IF(($C$63*$C$64&lt;'SA Apr 2023'!T41),(0),($C$63*$C$64-'SA Apr 2023'!T41)*'SA Apr 2023'!U41/100),IF(AND('SA Apr 2023'!R41&gt;0,'SA Apr 2023'!T41=""),IF(($C$63*$C$64&lt;'SA Apr 2023'!R41+'SA Apr 2023'!P41),(0),(($C$63*$C$64-('SA Apr 2023'!R41+'SA Apr 2023'!P41))*'SA Apr 2023'!S41/100)),IF(AND('SA Apr 2023'!P41&gt;0,'SA Apr 2023'!R41=""&gt;0),IF(($C$63*$C$64&lt;'SA Apr 2023'!P41),(0),($C$63*$C$64-'SA Apr 2023'!P41)*'SA Apr 2023'!Q41/100),0)))</f>
        <v>0</v>
      </c>
      <c r="G72" s="328">
        <v>0</v>
      </c>
      <c r="H72" s="51">
        <f>($C$63*$C$65)*'SA Apr 2023'!W41/100</f>
        <v>492.90909090909088</v>
      </c>
      <c r="I72" s="52">
        <f t="shared" si="46"/>
        <v>1714.2900909090904</v>
      </c>
      <c r="J72" s="109">
        <f t="shared" si="47"/>
        <v>6522.9090909090892</v>
      </c>
      <c r="K72" s="109">
        <f t="shared" si="48"/>
        <v>6857.1603636363616</v>
      </c>
      <c r="L72" s="53">
        <f t="shared" si="49"/>
        <v>7542.8763999999983</v>
      </c>
      <c r="M72" s="54">
        <f>'SA Apr 2023'!BB41</f>
        <v>0</v>
      </c>
      <c r="N72" s="54">
        <f>'SA Apr 2023'!BC41</f>
        <v>0</v>
      </c>
      <c r="O72" s="54">
        <f>'SA Apr 2023'!BD41</f>
        <v>0</v>
      </c>
      <c r="P72" s="54">
        <f>'SA Apr 2023'!BE41</f>
        <v>0</v>
      </c>
      <c r="Q72" s="110" t="str">
        <f t="shared" si="55"/>
        <v>No discount</v>
      </c>
      <c r="R72" s="73" t="str">
        <f t="shared" si="51"/>
        <v>Inclusive</v>
      </c>
      <c r="S72" s="111">
        <f t="shared" si="52"/>
        <v>6857.1603636363616</v>
      </c>
      <c r="T72" s="112">
        <f t="shared" si="53"/>
        <v>6857.1603636363616</v>
      </c>
      <c r="U72" s="97">
        <f t="shared" si="54"/>
        <v>7542.8763999999983</v>
      </c>
      <c r="V72" s="381">
        <f t="shared" si="54"/>
        <v>7542.8763999999983</v>
      </c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</row>
    <row r="73" spans="1:42" ht="14" x14ac:dyDescent="0.15">
      <c r="A73" s="70" t="str">
        <f>'SA Apr 2023'!K42</f>
        <v>Red Energy</v>
      </c>
      <c r="B73" s="49" t="str">
        <f>'SA Apr 2023'!L42</f>
        <v>Red Business Saver</v>
      </c>
      <c r="C73" s="46">
        <f>IF('SA Apr 2023'!BP42=0,91*'SA Apr 2023'!M42/100,(91*'SA Apr 2023'!M42/100)+'SA Apr 2023'!BP42/4)</f>
        <v>118.3</v>
      </c>
      <c r="D73" s="46">
        <f>IF('SA Apr 2023'!O42="",$C$63*$C$64*'SA Apr 2023'!N42/100,IF($C$63*$C$64&gt;='SA Apr 2023'!P42,('SA Apr 2023'!P42*'SA Apr 2023'!N42/100),($C$63*$C$64*'SA Apr 2023'!N42/100)))</f>
        <v>1168.6363636363635</v>
      </c>
      <c r="E73" s="46">
        <f>IF(AND('SA Apr 2023'!P42&gt;0,'SA Apr 2023'!R42&gt;0),IF($C$63*$C$64&lt;'SA Apr 2023'!P42,0,IF($C$63*$C$64&lt;=('SA Apr 2023'!R42+'SA Apr 2023'!P42),(($C$63*$C$64-'SA Apr 2023'!P42)*'SA Apr 2023'!Q42/100),(('SA Apr 2023'!R42)*'SA Apr 2023'!Q42/100))),0)</f>
        <v>0</v>
      </c>
      <c r="F73" s="50">
        <f>IF(AND('SA Apr 2023'!R42&gt;0,'SA Apr 2023'!T42&gt;0),IF(($C$63*$C$64&lt;'SA Apr 2023'!T42),(0),($C$63*$C$64-'SA Apr 2023'!T42)*'SA Apr 2023'!U42/100),IF(AND('SA Apr 2023'!R42&gt;0,'SA Apr 2023'!T42=""),IF(($C$63*$C$64&lt;'SA Apr 2023'!R42+'SA Apr 2023'!P42),(0),(($C$63*$C$64-('SA Apr 2023'!R42+'SA Apr 2023'!P42))*'SA Apr 2023'!S42/100)),IF(AND('SA Apr 2023'!P42&gt;0,'SA Apr 2023'!R42=""&gt;0),IF(($C$63*$C$64&lt;'SA Apr 2023'!P42),(0),($C$63*$C$64-'SA Apr 2023'!P42)*'SA Apr 2023'!Q42/100),0)))</f>
        <v>0</v>
      </c>
      <c r="G73" s="328">
        <v>0</v>
      </c>
      <c r="H73" s="51">
        <f>($C$63*$C$65)*'SA Apr 2023'!W42/100</f>
        <v>499.63636363636363</v>
      </c>
      <c r="I73" s="52">
        <f t="shared" si="46"/>
        <v>1786.5727272727272</v>
      </c>
      <c r="J73" s="109">
        <f t="shared" si="47"/>
        <v>6673.090909090909</v>
      </c>
      <c r="K73" s="109">
        <f t="shared" si="48"/>
        <v>7146.2909090909088</v>
      </c>
      <c r="L73" s="53">
        <f t="shared" si="49"/>
        <v>7860.92</v>
      </c>
      <c r="M73" s="54">
        <f>'SA Apr 2023'!BB42</f>
        <v>0</v>
      </c>
      <c r="N73" s="54">
        <f>'SA Apr 2023'!BC42</f>
        <v>0</v>
      </c>
      <c r="O73" s="54">
        <f>'SA Apr 2023'!BD42</f>
        <v>0</v>
      </c>
      <c r="P73" s="54">
        <f>'SA Apr 2023'!BE42</f>
        <v>0</v>
      </c>
      <c r="Q73" s="110" t="str">
        <f t="shared" si="55"/>
        <v>No discount</v>
      </c>
      <c r="R73" s="73" t="str">
        <f t="shared" si="51"/>
        <v>Inclusive</v>
      </c>
      <c r="S73" s="111">
        <f t="shared" si="52"/>
        <v>7146.2909090909088</v>
      </c>
      <c r="T73" s="112">
        <f t="shared" si="53"/>
        <v>7146.2909090909088</v>
      </c>
      <c r="U73" s="97">
        <f t="shared" si="54"/>
        <v>7860.92</v>
      </c>
      <c r="V73" s="381">
        <f t="shared" si="54"/>
        <v>7860.92</v>
      </c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</row>
    <row r="74" spans="1:42" ht="14" x14ac:dyDescent="0.15">
      <c r="A74" s="70" t="str">
        <f>'SA Apr 2023'!K43</f>
        <v>Simply Energy</v>
      </c>
      <c r="B74" s="49" t="str">
        <f>'SA Apr 2023'!L43</f>
        <v>Business Saver</v>
      </c>
      <c r="C74" s="46">
        <f>IF('SA Apr 2023'!BP43=0,91*'SA Apr 2023'!M43/100,(91*'SA Apr 2023'!M43/100)+'SA Apr 2023'!BP43/4)</f>
        <v>96.989454545454535</v>
      </c>
      <c r="D74" s="46">
        <f>IF('SA Apr 2023'!O43="",$C$63*$C$64*'SA Apr 2023'!N43/100,IF($C$63*$C$64&gt;='SA Apr 2023'!P43,('SA Apr 2023'!P43*'SA Apr 2023'!N43/100),($C$63*$C$64*'SA Apr 2023'!N43/100)))</f>
        <v>1383.5454545454545</v>
      </c>
      <c r="E74" s="46">
        <f>IF(AND('SA Apr 2023'!P43&gt;0,'SA Apr 2023'!R43&gt;0),IF($C$63*$C$64&lt;'SA Apr 2023'!P43,0,IF($C$63*$C$64&lt;=('SA Apr 2023'!R43+'SA Apr 2023'!P43),(($C$63*$C$64-'SA Apr 2023'!P43)*'SA Apr 2023'!Q43/100),(('SA Apr 2023'!R43)*'SA Apr 2023'!Q43/100))),0)</f>
        <v>0</v>
      </c>
      <c r="F74" s="50">
        <f>IF(AND('SA Apr 2023'!R43&gt;0,'SA Apr 2023'!T43&gt;0),IF(($C$63*$C$64&lt;'SA Apr 2023'!T43),(0),($C$63*$C$64-'SA Apr 2023'!T43)*'SA Apr 2023'!U43/100),IF(AND('SA Apr 2023'!R43&gt;0,'SA Apr 2023'!T43=""),IF(($C$63*$C$64&lt;'SA Apr 2023'!R43+'SA Apr 2023'!P43),(0),(($C$63*$C$64-('SA Apr 2023'!R43+'SA Apr 2023'!P43))*'SA Apr 2023'!S43/100)),IF(AND('SA Apr 2023'!P43&gt;0,'SA Apr 2023'!R43=""&gt;0),IF(($C$63*$C$64&lt;'SA Apr 2023'!P43),(0),($C$63*$C$64-'SA Apr 2023'!P43)*'SA Apr 2023'!Q43/100),0)))</f>
        <v>0</v>
      </c>
      <c r="G74" s="328">
        <v>0</v>
      </c>
      <c r="H74" s="51">
        <f>($C$63*$C$65)*'SA Apr 2023'!W43/100</f>
        <v>542.5454545454545</v>
      </c>
      <c r="I74" s="52">
        <f t="shared" si="46"/>
        <v>2023.0803636363635</v>
      </c>
      <c r="J74" s="109">
        <f t="shared" si="47"/>
        <v>7704.363636363636</v>
      </c>
      <c r="K74" s="109">
        <f t="shared" si="48"/>
        <v>8092.3214545454539</v>
      </c>
      <c r="L74" s="53">
        <f t="shared" si="49"/>
        <v>8901.5535999999993</v>
      </c>
      <c r="M74" s="54">
        <f>'SA Apr 2023'!BB43</f>
        <v>6</v>
      </c>
      <c r="N74" s="54">
        <f>'SA Apr 2023'!BC43</f>
        <v>0</v>
      </c>
      <c r="O74" s="54">
        <f>'SA Apr 2023'!BD43</f>
        <v>0</v>
      </c>
      <c r="P74" s="54">
        <f>'SA Apr 2023'!BE43</f>
        <v>0</v>
      </c>
      <c r="Q74" s="110" t="str">
        <f t="shared" si="55"/>
        <v>Guaranteed off bill</v>
      </c>
      <c r="R74" s="73" t="str">
        <f t="shared" si="51"/>
        <v>Exclusive</v>
      </c>
      <c r="S74" s="111">
        <f t="shared" si="52"/>
        <v>7606.7821672727268</v>
      </c>
      <c r="T74" s="112">
        <f t="shared" si="53"/>
        <v>7606.7821672727268</v>
      </c>
      <c r="U74" s="97">
        <f t="shared" si="54"/>
        <v>8367.460384</v>
      </c>
      <c r="V74" s="381">
        <f t="shared" si="54"/>
        <v>8367.460384</v>
      </c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</row>
    <row r="75" spans="1:42" ht="14" x14ac:dyDescent="0.15">
      <c r="A75" s="70" t="str">
        <f>'SA Apr 2023'!K44</f>
        <v>Powershop</v>
      </c>
      <c r="B75" s="49" t="str">
        <f>'SA Apr 2023'!L44</f>
        <v>100% Carbon Neutral</v>
      </c>
      <c r="C75" s="46">
        <f>IF('SA Apr 2023'!BP44=0,91*'SA Apr 2023'!M44/100,(91*'SA Apr 2023'!M44/100)+'SA Apr 2023'!BP44/4)</f>
        <v>126.14254545454543</v>
      </c>
      <c r="D75" s="46">
        <f>IF('SA Apr 2023'!O44="",$C$63*$C$64*'SA Apr 2023'!N44/100,IF($C$63*$C$64&gt;='SA Apr 2023'!P44,('SA Apr 2023'!P44*'SA Apr 2023'!N44/100),($C$63*$C$64*'SA Apr 2023'!N44/100)))</f>
        <v>1209.5454545454545</v>
      </c>
      <c r="E75" s="46">
        <f>IF(AND('SA Apr 2023'!P44&gt;0,'SA Apr 2023'!R44&gt;0),IF($C$63*$C$64&lt;'SA Apr 2023'!P44,0,IF($C$63*$C$64&lt;=('SA Apr 2023'!R44+'SA Apr 2023'!P44),(($C$63*$C$64-'SA Apr 2023'!P44)*'SA Apr 2023'!Q44/100),(('SA Apr 2023'!R44)*'SA Apr 2023'!Q44/100))),0)</f>
        <v>0</v>
      </c>
      <c r="F75" s="50">
        <f>IF(AND('SA Apr 2023'!R44&gt;0,'SA Apr 2023'!T44&gt;0),IF(($C$63*$C$64&lt;'SA Apr 2023'!T44),(0),($C$63*$C$64-'SA Apr 2023'!T44)*'SA Apr 2023'!U44/100),IF(AND('SA Apr 2023'!R44&gt;0,'SA Apr 2023'!T44=""),IF(($C$63*$C$64&lt;'SA Apr 2023'!R44+'SA Apr 2023'!P44),(0),(($C$63*$C$64-('SA Apr 2023'!R44+'SA Apr 2023'!P44))*'SA Apr 2023'!S44/100)),IF(AND('SA Apr 2023'!P44&gt;0,'SA Apr 2023'!R44=""&gt;0),IF(($C$63*$C$64&lt;'SA Apr 2023'!P44),(0),($C$63*$C$64-'SA Apr 2023'!P44)*'SA Apr 2023'!Q44/100),0)))</f>
        <v>0</v>
      </c>
      <c r="G75" s="328">
        <v>0</v>
      </c>
      <c r="H75" s="51">
        <f>($C$63*$C$65)*'SA Apr 2023'!W44/100</f>
        <v>567.27272727272725</v>
      </c>
      <c r="I75" s="52">
        <f t="shared" si="46"/>
        <v>1902.9607272727271</v>
      </c>
      <c r="J75" s="109">
        <f t="shared" si="47"/>
        <v>7107.272727272727</v>
      </c>
      <c r="K75" s="109">
        <f t="shared" si="48"/>
        <v>7611.8429090909085</v>
      </c>
      <c r="L75" s="53">
        <f t="shared" si="49"/>
        <v>8373.0272000000004</v>
      </c>
      <c r="M75" s="54">
        <f>'SA Apr 2023'!BB44</f>
        <v>0</v>
      </c>
      <c r="N75" s="54">
        <f>'SA Apr 2023'!BC44</f>
        <v>0</v>
      </c>
      <c r="O75" s="54">
        <f>'SA Apr 2023'!BD44</f>
        <v>0</v>
      </c>
      <c r="P75" s="54">
        <f>'SA Apr 2023'!BE44</f>
        <v>0</v>
      </c>
      <c r="Q75" s="110" t="str">
        <f t="shared" si="55"/>
        <v>No discount</v>
      </c>
      <c r="R75" s="73" t="str">
        <f t="shared" si="51"/>
        <v>Inclusive</v>
      </c>
      <c r="S75" s="111">
        <f t="shared" si="52"/>
        <v>7611.8429090909085</v>
      </c>
      <c r="T75" s="112">
        <f t="shared" si="53"/>
        <v>7611.8429090909085</v>
      </c>
      <c r="U75" s="97">
        <f t="shared" si="54"/>
        <v>8373.0272000000004</v>
      </c>
      <c r="V75" s="381">
        <f t="shared" si="54"/>
        <v>8373.0272000000004</v>
      </c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</row>
    <row r="76" spans="1:42" ht="14" x14ac:dyDescent="0.15">
      <c r="A76" s="70" t="str">
        <f>'SA Apr 2023'!K45</f>
        <v>Energy Locals</v>
      </c>
      <c r="B76" s="49" t="str">
        <f>'SA Apr 2023'!L45</f>
        <v>Business Member</v>
      </c>
      <c r="C76" s="46">
        <f>IF('SA Apr 2023'!BP45=0,91*'SA Apr 2023'!M45/100,(91*'SA Apr 2023'!M45/100)+'SA Apr 2023'!BP45/4)</f>
        <v>107.90454545454544</v>
      </c>
      <c r="D76" s="46">
        <f>IF('SA Apr 2023'!O45="",$C$63*$C$64*'SA Apr 2023'!N45/100,IF($C$63*$C$64&gt;='SA Apr 2023'!P45,('SA Apr 2023'!P45*'SA Apr 2023'!N45/100),($C$63*$C$64*'SA Apr 2023'!N45/100)))</f>
        <v>1077.2727272727273</v>
      </c>
      <c r="E76" s="46">
        <f>IF(AND('SA Apr 2023'!P45&gt;0,'SA Apr 2023'!R45&gt;0),IF($C$63*$C$64&lt;'SA Apr 2023'!P45,0,IF($C$63*$C$64&lt;=('SA Apr 2023'!R45+'SA Apr 2023'!P45),(($C$63*$C$64-'SA Apr 2023'!P45)*'SA Apr 2023'!Q45/100),(('SA Apr 2023'!R45)*'SA Apr 2023'!Q45/100))),0)</f>
        <v>0</v>
      </c>
      <c r="F76" s="50">
        <f>IF(AND('SA Apr 2023'!R45&gt;0,'SA Apr 2023'!T45&gt;0),IF(($C$63*$C$64&lt;'SA Apr 2023'!T45),(0),($C$63*$C$64-'SA Apr 2023'!T45)*'SA Apr 2023'!U45/100),IF(AND('SA Apr 2023'!R45&gt;0,'SA Apr 2023'!T45=""),IF(($C$63*$C$64&lt;'SA Apr 2023'!R45+'SA Apr 2023'!P45),(0),(($C$63*$C$64-('SA Apr 2023'!R45+'SA Apr 2023'!P45))*'SA Apr 2023'!S45/100)),IF(AND('SA Apr 2023'!P45&gt;0,'SA Apr 2023'!R45=""&gt;0),IF(($C$63*$C$64&lt;'SA Apr 2023'!P45),(0),($C$63*$C$64-'SA Apr 2023'!P45)*'SA Apr 2023'!Q45/100),0)))</f>
        <v>0</v>
      </c>
      <c r="G76" s="328">
        <v>0</v>
      </c>
      <c r="H76" s="51">
        <f>($C$63*$C$65)*'SA Apr 2023'!W45/100</f>
        <v>499.99999999999994</v>
      </c>
      <c r="I76" s="52">
        <f t="shared" si="46"/>
        <v>1685.1772727272728</v>
      </c>
      <c r="J76" s="109">
        <f t="shared" si="47"/>
        <v>6309.090909090909</v>
      </c>
      <c r="K76" s="109">
        <f t="shared" si="48"/>
        <v>6740.7090909090912</v>
      </c>
      <c r="L76" s="53">
        <f t="shared" si="49"/>
        <v>7414.7800000000007</v>
      </c>
      <c r="M76" s="54">
        <f>'SA Apr 2023'!BB45</f>
        <v>0</v>
      </c>
      <c r="N76" s="54">
        <f>'SA Apr 2023'!BC45</f>
        <v>0</v>
      </c>
      <c r="O76" s="54">
        <f>'SA Apr 2023'!BD45</f>
        <v>0</v>
      </c>
      <c r="P76" s="54">
        <f>'SA Apr 2023'!BE45</f>
        <v>0</v>
      </c>
      <c r="Q76" s="110" t="str">
        <f t="shared" si="55"/>
        <v>No discount</v>
      </c>
      <c r="R76" s="73" t="str">
        <f t="shared" si="51"/>
        <v>Exclusive</v>
      </c>
      <c r="S76" s="111">
        <f t="shared" si="52"/>
        <v>6740.7090909090912</v>
      </c>
      <c r="T76" s="112">
        <f t="shared" si="53"/>
        <v>6740.7090909090912</v>
      </c>
      <c r="U76" s="97">
        <f t="shared" si="54"/>
        <v>7414.7800000000007</v>
      </c>
      <c r="V76" s="381">
        <f t="shared" si="54"/>
        <v>7414.7800000000007</v>
      </c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</row>
    <row r="77" spans="1:42" ht="14" x14ac:dyDescent="0.15">
      <c r="A77" s="70" t="str">
        <f>'SA Apr 2023'!K46</f>
        <v>ReAmped Energy</v>
      </c>
      <c r="B77" s="49" t="str">
        <f>'SA Apr 2023'!L46</f>
        <v>Business</v>
      </c>
      <c r="C77" s="46">
        <f>IF('SA Apr 2023'!BP46=0,91*'SA Apr 2023'!M46/100,(91*'SA Apr 2023'!M46/100)+'SA Apr 2023'!BP46/4)</f>
        <v>116.92672727272726</v>
      </c>
      <c r="D77" s="46">
        <f>IF('SA Apr 2023'!O46="",$C$63*$C$64*'SA Apr 2023'!N46/100,IF($C$63*$C$64&gt;='SA Apr 2023'!P46,('SA Apr 2023'!P46*'SA Apr 2023'!N46/100),($C$63*$C$64*'SA Apr 2023'!N46/100)))</f>
        <v>1453.0909090909088</v>
      </c>
      <c r="E77" s="46">
        <f>IF(AND('SA Apr 2023'!P46&gt;0,'SA Apr 2023'!R46&gt;0),IF($C$63*$C$64&lt;'SA Apr 2023'!P46,0,IF($C$63*$C$64&lt;=('SA Apr 2023'!R46+'SA Apr 2023'!P46),(($C$63*$C$64-'SA Apr 2023'!P46)*'SA Apr 2023'!Q46/100),(('SA Apr 2023'!R46)*'SA Apr 2023'!Q46/100))),0)</f>
        <v>0</v>
      </c>
      <c r="F77" s="50">
        <f>IF(AND('SA Apr 2023'!R46&gt;0,'SA Apr 2023'!T46&gt;0),IF(($C$63*$C$64&lt;'SA Apr 2023'!T46),(0),($C$63*$C$64-'SA Apr 2023'!T46)*'SA Apr 2023'!U46/100),IF(AND('SA Apr 2023'!R46&gt;0,'SA Apr 2023'!T46=""),IF(($C$63*$C$64&lt;'SA Apr 2023'!R46+'SA Apr 2023'!P46),(0),(($C$63*$C$64-('SA Apr 2023'!R46+'SA Apr 2023'!P46))*'SA Apr 2023'!S46/100)),IF(AND('SA Apr 2023'!P46&gt;0,'SA Apr 2023'!R46=""&gt;0),IF(($C$63*$C$64&lt;'SA Apr 2023'!P46),(0),($C$63*$C$64-'SA Apr 2023'!P46)*'SA Apr 2023'!Q46/100),0)))</f>
        <v>0</v>
      </c>
      <c r="G77" s="328">
        <v>0</v>
      </c>
      <c r="H77" s="51">
        <f>($C$63*$C$65)*'SA Apr 2023'!W46/100</f>
        <v>672</v>
      </c>
      <c r="I77" s="52">
        <f t="shared" si="46"/>
        <v>2242.017636363636</v>
      </c>
      <c r="J77" s="109">
        <f t="shared" si="47"/>
        <v>8500.3636363636342</v>
      </c>
      <c r="K77" s="109">
        <f t="shared" si="48"/>
        <v>8968.0705454545441</v>
      </c>
      <c r="L77" s="53">
        <f t="shared" si="49"/>
        <v>9864.8775999999998</v>
      </c>
      <c r="M77" s="54">
        <f>'SA Apr 2023'!BB46</f>
        <v>0</v>
      </c>
      <c r="N77" s="54">
        <f>'SA Apr 2023'!BC46</f>
        <v>0</v>
      </c>
      <c r="O77" s="54">
        <f>'SA Apr 2023'!BD46</f>
        <v>0</v>
      </c>
      <c r="P77" s="54">
        <f>'SA Apr 2023'!BE46</f>
        <v>0</v>
      </c>
      <c r="Q77" s="110" t="str">
        <f t="shared" si="55"/>
        <v>No discount</v>
      </c>
      <c r="R77" s="73" t="str">
        <f t="shared" si="51"/>
        <v>Exclusive</v>
      </c>
      <c r="S77" s="111">
        <f t="shared" si="52"/>
        <v>8968.0705454545441</v>
      </c>
      <c r="T77" s="112">
        <f t="shared" si="53"/>
        <v>8968.0705454545441</v>
      </c>
      <c r="U77" s="97">
        <f t="shared" ref="U77:V79" si="56">S77*1.1</f>
        <v>9864.8775999999998</v>
      </c>
      <c r="V77" s="381">
        <f t="shared" si="56"/>
        <v>9864.8775999999998</v>
      </c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</row>
    <row r="78" spans="1:42" ht="14" x14ac:dyDescent="0.15">
      <c r="A78" s="70" t="str">
        <f>'SA Apr 2023'!K47</f>
        <v>CovaU</v>
      </c>
      <c r="B78" s="49" t="str">
        <f>'SA Apr 2023'!L47</f>
        <v>Freedom</v>
      </c>
      <c r="C78" s="46">
        <f>IF('SA Apr 2023'!BP47=0,91*'SA Apr 2023'!M47/100,(91*'SA Apr 2023'!M47/100)+'SA Apr 2023'!BP47/4)</f>
        <v>99.173454545454533</v>
      </c>
      <c r="D78" s="46">
        <f>IF('SA Apr 2023'!O47="",$C$63*$C$64*'SA Apr 2023'!N47/100,IF($C$63*$C$64&gt;='SA Apr 2023'!P47,('SA Apr 2023'!P47*'SA Apr 2023'!N47/100),($C$63*$C$64*'SA Apr 2023'!N47/100)))</f>
        <v>1350.5454545454545</v>
      </c>
      <c r="E78" s="46">
        <f>IF(AND('SA Apr 2023'!P47&gt;0,'SA Apr 2023'!R47&gt;0),IF($C$63*$C$64&lt;'SA Apr 2023'!P47,0,IF($C$63*$C$64&lt;=('SA Apr 2023'!R47+'SA Apr 2023'!P47),(($C$63*$C$64-'SA Apr 2023'!P47)*'SA Apr 2023'!Q47/100),(('SA Apr 2023'!R47)*'SA Apr 2023'!Q47/100))),0)</f>
        <v>0</v>
      </c>
      <c r="F78" s="50">
        <f>IF(AND('SA Apr 2023'!R47&gt;0,'SA Apr 2023'!T47&gt;0),IF(($C$63*$C$64&lt;'SA Apr 2023'!T47),(0),($C$63*$C$64-'SA Apr 2023'!T47)*'SA Apr 2023'!U47/100),IF(AND('SA Apr 2023'!R47&gt;0,'SA Apr 2023'!T47=""),IF(($C$63*$C$64&lt;'SA Apr 2023'!R47+'SA Apr 2023'!P47),(0),(($C$63*$C$64-('SA Apr 2023'!R47+'SA Apr 2023'!P47))*'SA Apr 2023'!S47/100)),IF(AND('SA Apr 2023'!P47&gt;0,'SA Apr 2023'!R47=""&gt;0),IF(($C$63*$C$64&lt;'SA Apr 2023'!P47),(0),($C$63*$C$64-'SA Apr 2023'!P47)*'SA Apr 2023'!Q47/100),0)))</f>
        <v>0</v>
      </c>
      <c r="G78" s="328">
        <v>0</v>
      </c>
      <c r="H78" s="51">
        <f>($C$63*$C$65)*'SA Apr 2023'!W47/100</f>
        <v>585.09090909090901</v>
      </c>
      <c r="I78" s="52">
        <f t="shared" si="46"/>
        <v>2034.8098181818179</v>
      </c>
      <c r="J78" s="109">
        <f t="shared" si="47"/>
        <v>7742.545454545454</v>
      </c>
      <c r="K78" s="109">
        <f t="shared" si="48"/>
        <v>8139.2392727272718</v>
      </c>
      <c r="L78" s="53">
        <f t="shared" si="49"/>
        <v>8953.1631999999991</v>
      </c>
      <c r="M78" s="54">
        <f>'SA Apr 2023'!BB47</f>
        <v>0</v>
      </c>
      <c r="N78" s="54">
        <f>'SA Apr 2023'!BC47</f>
        <v>0</v>
      </c>
      <c r="O78" s="54">
        <f>'SA Apr 2023'!BD47</f>
        <v>0</v>
      </c>
      <c r="P78" s="54">
        <f>'SA Apr 2023'!BE47</f>
        <v>0</v>
      </c>
      <c r="Q78" s="110" t="str">
        <f t="shared" si="55"/>
        <v>No discount</v>
      </c>
      <c r="R78" s="73" t="str">
        <f t="shared" si="51"/>
        <v>Exclusive</v>
      </c>
      <c r="S78" s="111">
        <f t="shared" si="52"/>
        <v>8139.2392727272718</v>
      </c>
      <c r="T78" s="112">
        <f t="shared" si="53"/>
        <v>8139.2392727272718</v>
      </c>
      <c r="U78" s="97">
        <f t="shared" si="56"/>
        <v>8953.1631999999991</v>
      </c>
      <c r="V78" s="381">
        <f t="shared" si="56"/>
        <v>8953.1631999999991</v>
      </c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</row>
    <row r="79" spans="1:42" ht="14" x14ac:dyDescent="0.15">
      <c r="A79" s="70" t="str">
        <f>'SA Apr 2023'!K48</f>
        <v>Sumo Power</v>
      </c>
      <c r="B79" s="49" t="str">
        <f>'SA Apr 2023'!L48</f>
        <v>Lite</v>
      </c>
      <c r="C79" s="46">
        <f>IF('SA Apr 2023'!BP48=0,91*'SA Apr 2023'!M48/100,(91*'SA Apr 2023'!M48/100)+'SA Apr 2023'!BP48/4)</f>
        <v>127.4</v>
      </c>
      <c r="D79" s="46">
        <f>IF('SA Apr 2023'!O48="",$C$63*$C$64*'SA Apr 2023'!N48/100,IF($C$63*$C$64&gt;='SA Apr 2023'!P48,('SA Apr 2023'!P48*'SA Apr 2023'!N48/100),($C$63*$C$64*'SA Apr 2023'!N48/100)))</f>
        <v>1110</v>
      </c>
      <c r="E79" s="46">
        <f>IF(AND('SA Apr 2023'!P48&gt;0,'SA Apr 2023'!R48&gt;0),IF($C$63*$C$64&lt;'SA Apr 2023'!P48,0,IF($C$63*$C$64&lt;=('SA Apr 2023'!R48+'SA Apr 2023'!P48),(($C$63*$C$64-'SA Apr 2023'!P48)*'SA Apr 2023'!Q48/100),(('SA Apr 2023'!R48)*'SA Apr 2023'!Q48/100))),0)</f>
        <v>0</v>
      </c>
      <c r="F79" s="50">
        <f>IF(AND('SA Apr 2023'!R48&gt;0,'SA Apr 2023'!T48&gt;0),IF(($C$63*$C$64&lt;'SA Apr 2023'!T48),(0),($C$63*$C$64-'SA Apr 2023'!T48)*'SA Apr 2023'!U48/100),IF(AND('SA Apr 2023'!R48&gt;0,'SA Apr 2023'!T48=""),IF(($C$63*$C$64&lt;'SA Apr 2023'!R48+'SA Apr 2023'!P48),(0),(($C$63*$C$64-('SA Apr 2023'!R48+'SA Apr 2023'!P48))*'SA Apr 2023'!S48/100)),IF(AND('SA Apr 2023'!P48&gt;0,'SA Apr 2023'!R48=""&gt;0),IF(($C$63*$C$64&lt;'SA Apr 2023'!P48),(0),($C$63*$C$64-'SA Apr 2023'!P48)*'SA Apr 2023'!Q48/100),0)))</f>
        <v>0</v>
      </c>
      <c r="G79" s="328">
        <v>0</v>
      </c>
      <c r="H79" s="51">
        <f>($C$63*$C$65)*'SA Apr 2023'!W48/100</f>
        <v>499.99999999999994</v>
      </c>
      <c r="I79" s="52">
        <f t="shared" si="46"/>
        <v>1737.4</v>
      </c>
      <c r="J79" s="109">
        <f t="shared" si="47"/>
        <v>6440</v>
      </c>
      <c r="K79" s="109">
        <f t="shared" si="48"/>
        <v>6949.6</v>
      </c>
      <c r="L79" s="53">
        <f t="shared" si="49"/>
        <v>7644.5600000000013</v>
      </c>
      <c r="M79" s="54">
        <f>'SA Apr 2023'!BB48</f>
        <v>0</v>
      </c>
      <c r="N79" s="54">
        <f>'SA Apr 2023'!BC48</f>
        <v>0</v>
      </c>
      <c r="O79" s="54">
        <f>'SA Apr 2023'!BD48</f>
        <v>0</v>
      </c>
      <c r="P79" s="54">
        <f>'SA Apr 2023'!BE48</f>
        <v>0</v>
      </c>
      <c r="Q79" s="110" t="str">
        <f t="shared" si="55"/>
        <v>No discount</v>
      </c>
      <c r="R79" s="73" t="str">
        <f t="shared" si="51"/>
        <v>Exclusive</v>
      </c>
      <c r="S79" s="111">
        <f t="shared" si="52"/>
        <v>6949.6</v>
      </c>
      <c r="T79" s="112">
        <f t="shared" si="53"/>
        <v>6949.6</v>
      </c>
      <c r="U79" s="97">
        <f t="shared" si="56"/>
        <v>7644.5600000000013</v>
      </c>
      <c r="V79" s="381">
        <f t="shared" si="56"/>
        <v>7644.5600000000013</v>
      </c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</row>
    <row r="80" spans="1:42" ht="14" x14ac:dyDescent="0.15">
      <c r="A80" s="70" t="str">
        <f>'SA Apr 2023'!K49</f>
        <v>Momentum Energy</v>
      </c>
      <c r="B80" s="49" t="str">
        <f>'SA Apr 2023'!L49</f>
        <v>Thrifty Business</v>
      </c>
      <c r="C80" s="46">
        <f>IF('SA Apr 2023'!BP49=0,91*'SA Apr 2023'!M49/100,(91*'SA Apr 2023'!M49/100)+'SA Apr 2023'!BP49/4)</f>
        <v>145.327</v>
      </c>
      <c r="D80" s="46">
        <f>IF('SA Apr 2023'!O49="",$C$63*$C$64*'SA Apr 2023'!N49/100,IF($C$63*$C$64&gt;='SA Apr 2023'!P49,('SA Apr 2023'!P49*'SA Apr 2023'!N49/100),($C$63*$C$64*'SA Apr 2023'!N49/100)))</f>
        <v>1113</v>
      </c>
      <c r="E80" s="46">
        <f>IF(AND('SA Apr 2023'!P49&gt;0,'SA Apr 2023'!R49&gt;0),IF($C$63*$C$64&lt;'SA Apr 2023'!P49,0,IF($C$63*$C$64&lt;=('SA Apr 2023'!R49+'SA Apr 2023'!P49),(($C$63*$C$64-'SA Apr 2023'!P49)*'SA Apr 2023'!Q49/100),(('SA Apr 2023'!R49)*'SA Apr 2023'!Q49/100))),0)</f>
        <v>0</v>
      </c>
      <c r="F80" s="50">
        <f>IF(AND('SA Apr 2023'!R49&gt;0,'SA Apr 2023'!T49&gt;0),IF(($C$63*$C$64&lt;'SA Apr 2023'!T49),(0),($C$63*$C$64-'SA Apr 2023'!T49)*'SA Apr 2023'!U49/100),IF(AND('SA Apr 2023'!R49&gt;0,'SA Apr 2023'!T49=""),IF(($C$63*$C$64&lt;'SA Apr 2023'!R49+'SA Apr 2023'!P49),(0),(($C$63*$C$64-('SA Apr 2023'!R49+'SA Apr 2023'!P49))*'SA Apr 2023'!S49/100)),IF(AND('SA Apr 2023'!P49&gt;0,'SA Apr 2023'!R49=""&gt;0),IF(($C$63*$C$64&lt;'SA Apr 2023'!P49),(0),($C$63*$C$64-'SA Apr 2023'!P49)*'SA Apr 2023'!Q49/100),0)))</f>
        <v>0</v>
      </c>
      <c r="G80" s="328">
        <v>1</v>
      </c>
      <c r="H80" s="51">
        <f>($C$63*$C$65)*'SA Apr 2023'!W49/100</f>
        <v>548</v>
      </c>
      <c r="I80" s="52">
        <f t="shared" ref="I80:I81" si="57">SUM(C80:H80)</f>
        <v>1807.327</v>
      </c>
      <c r="J80" s="109">
        <f t="shared" ref="J80:J81" si="58">(I80-C80)*4</f>
        <v>6648</v>
      </c>
      <c r="K80" s="109">
        <f t="shared" ref="K80:K81" si="59">I80*4</f>
        <v>7229.308</v>
      </c>
      <c r="L80" s="53">
        <f t="shared" ref="L80:L81" si="60">K80*1.1</f>
        <v>7952.238800000001</v>
      </c>
      <c r="M80" s="54">
        <f>'SA Apr 2023'!BB49</f>
        <v>0</v>
      </c>
      <c r="N80" s="54">
        <f>'SA Apr 2023'!BC49</f>
        <v>0</v>
      </c>
      <c r="O80" s="54">
        <f>'SA Apr 2023'!BD49</f>
        <v>0</v>
      </c>
      <c r="P80" s="54">
        <f>'SA Apr 2023'!BE49</f>
        <v>0</v>
      </c>
      <c r="Q80" s="110" t="str">
        <f t="shared" ref="Q80:Q81" si="61">IF(SUM(M80:P80)=0,"No discount",IF(M80&gt;0,"Guaranteed off bill",IF(N80&gt;0,"Guaranteed off usage",IF(O80&gt;0,"Pay-on-time off bill","Pay-on-time off usage"))))</f>
        <v>No discount</v>
      </c>
      <c r="R80" s="73" t="str">
        <f t="shared" ref="R80:R81" si="62">IF(OR(A80="Origin Energy",A80="Red Energy",A80="Powershop"),"Inclusive","Exclusive")</f>
        <v>Exclusive</v>
      </c>
      <c r="S80" s="111">
        <f t="shared" ref="S80:S81" si="63">IF(AND(Q80="Guaranteed off bill",R80="Inclusive"),((K80*1.1)-((K80*1.1)*M80/100))/1.1,IF(AND(Q80="Guaranteed off usage",R80="Inclusive"),((K80*1.1)-((J80*1.1)*N80/100))/1.1,IF(AND(Q80="Guaranteed off bill",R80="Exclusive"),K80-(K80*M80/100),IF(AND(Q80="Guaranteed off usage",R80="Exclusive"),K80-(J80*N80/100),IF(R80="Inclusive",((K80*1.1))/1.1,K80)))))</f>
        <v>7229.308</v>
      </c>
      <c r="T80" s="112">
        <f t="shared" ref="T80:T81" si="64">IF(AND(Q80="Pay-on-time off bill",R80="Inclusive"),((S80*1.1)-((S80*1.1)*O80/100))/1.1,IF(AND(Q80="Pay-on-time off usage",R80="Inclusive"),((S80*1.1)-((J80*1.1)*P80/100))/1.1,IF(AND(Q80="Pay-on-time off bill",R80="Exclusive"),S80-(S80*O80/100),IF(AND(Q80="Pay-on-time off usage",R80="Exclusive"),S80-(J80*P80/100),IF(R80="Inclusive",((S80*1.1))/1.1,S80)))))</f>
        <v>7229.308</v>
      </c>
      <c r="U80" s="97">
        <f t="shared" ref="U80:U81" si="65">S80*1.1</f>
        <v>7952.238800000001</v>
      </c>
      <c r="V80" s="381">
        <f t="shared" ref="V80:V81" si="66">T80*1.1</f>
        <v>7952.238800000001</v>
      </c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</row>
    <row r="81" spans="1:42" ht="15" thickBot="1" x14ac:dyDescent="0.2">
      <c r="A81" s="71" t="str">
        <f>'SA Apr 2023'!K50</f>
        <v>Next Business Energy</v>
      </c>
      <c r="B81" s="57" t="str">
        <f>'SA Apr 2023'!L50</f>
        <v xml:space="preserve">Assured </v>
      </c>
      <c r="C81" s="58">
        <f>IF('SA Apr 2023'!BP50=0,91*'SA Apr 2023'!M50/100,(91*'SA Apr 2023'!M50/100)+'SA Apr 2023'!BP50/4)</f>
        <v>85.076727272727283</v>
      </c>
      <c r="D81" s="58">
        <f>IF('SA Apr 2023'!O50="",$C$63*$C$64*'SA Apr 2023'!N50/100,IF($C$63*$C$64&gt;='SA Apr 2023'!P50,('SA Apr 2023'!P50*'SA Apr 2023'!N50/100),($C$63*$C$64*'SA Apr 2023'!N50/100)))</f>
        <v>1137.8181818181815</v>
      </c>
      <c r="E81" s="58">
        <f>IF(AND('SA Apr 2023'!P50&gt;0,'SA Apr 2023'!R50&gt;0),IF($C$63*$C$64&lt;'SA Apr 2023'!P50,0,IF($C$63*$C$64&lt;=('SA Apr 2023'!R50+'SA Apr 2023'!P50),(($C$63*$C$64-'SA Apr 2023'!P50)*'SA Apr 2023'!Q50/100),(('SA Apr 2023'!R50)*'SA Apr 2023'!Q50/100))),0)</f>
        <v>0</v>
      </c>
      <c r="F81" s="59">
        <f>IF(AND('SA Apr 2023'!R50&gt;0,'SA Apr 2023'!T50&gt;0),IF(($C$63*$C$64&lt;'SA Apr 2023'!T50),(0),($C$63*$C$64-'SA Apr 2023'!T50)*'SA Apr 2023'!U50/100),IF(AND('SA Apr 2023'!R50&gt;0,'SA Apr 2023'!T50=""),IF(($C$63*$C$64&lt;'SA Apr 2023'!R50+'SA Apr 2023'!P50),(0),(($C$63*$C$64-('SA Apr 2023'!R50+'SA Apr 2023'!P50))*'SA Apr 2023'!S50/100)),IF(AND('SA Apr 2023'!P50&gt;0,'SA Apr 2023'!R50=""&gt;0),IF(($C$63*$C$64&lt;'SA Apr 2023'!P50),(0),($C$63*$C$64-'SA Apr 2023'!P50)*'SA Apr 2023'!Q50/100),0)))</f>
        <v>0</v>
      </c>
      <c r="G81" s="329">
        <v>2</v>
      </c>
      <c r="H81" s="60">
        <f>($C$63*$C$65)*'SA Apr 2023'!W50/100</f>
        <v>588.36363636363637</v>
      </c>
      <c r="I81" s="61">
        <f t="shared" si="57"/>
        <v>1813.2585454545451</v>
      </c>
      <c r="J81" s="116">
        <f t="shared" si="58"/>
        <v>6912.7272727272712</v>
      </c>
      <c r="K81" s="116">
        <f t="shared" si="59"/>
        <v>7253.0341818181805</v>
      </c>
      <c r="L81" s="62">
        <f t="shared" si="60"/>
        <v>7978.3375999999989</v>
      </c>
      <c r="M81" s="63">
        <f>'SA Apr 2023'!BB50</f>
        <v>0</v>
      </c>
      <c r="N81" s="63">
        <f>'SA Apr 2023'!BC50</f>
        <v>0</v>
      </c>
      <c r="O81" s="63">
        <f>'SA Apr 2023'!BD50</f>
        <v>0</v>
      </c>
      <c r="P81" s="63">
        <f>'SA Apr 2023'!BE50</f>
        <v>0</v>
      </c>
      <c r="Q81" s="115" t="str">
        <f t="shared" si="61"/>
        <v>No discount</v>
      </c>
      <c r="R81" s="72" t="str">
        <f t="shared" si="62"/>
        <v>Exclusive</v>
      </c>
      <c r="S81" s="113">
        <f t="shared" si="63"/>
        <v>7253.0341818181805</v>
      </c>
      <c r="T81" s="114">
        <f t="shared" si="64"/>
        <v>7253.0341818181805</v>
      </c>
      <c r="U81" s="99">
        <f t="shared" si="65"/>
        <v>7978.3375999999989</v>
      </c>
      <c r="V81" s="382">
        <f t="shared" si="66"/>
        <v>7978.3375999999989</v>
      </c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</row>
    <row r="82" spans="1:42" ht="14" x14ac:dyDescent="0.15">
      <c r="A82" s="290"/>
      <c r="B82" s="290"/>
      <c r="C82" s="290"/>
      <c r="D82" s="290"/>
      <c r="E82" s="290"/>
      <c r="F82" s="290"/>
      <c r="G82" s="293"/>
      <c r="H82" s="293"/>
      <c r="I82" s="294"/>
      <c r="J82" s="294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</row>
    <row r="83" spans="1:42" ht="14" x14ac:dyDescent="0.15">
      <c r="A83" s="290"/>
      <c r="B83" s="290"/>
      <c r="C83" s="290"/>
      <c r="D83" s="293"/>
      <c r="E83" s="293"/>
      <c r="F83" s="293"/>
      <c r="G83" s="293"/>
      <c r="H83" s="293"/>
      <c r="I83" s="294"/>
      <c r="J83" s="294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</row>
    <row r="84" spans="1:42" ht="14" x14ac:dyDescent="0.15">
      <c r="A84" s="290"/>
      <c r="B84" s="290"/>
      <c r="C84" s="290"/>
      <c r="D84" s="290"/>
      <c r="E84" s="290"/>
      <c r="F84" s="290"/>
      <c r="G84" s="293"/>
      <c r="H84" s="293"/>
      <c r="I84" s="294"/>
      <c r="J84" s="294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</row>
    <row r="85" spans="1:42" ht="14" x14ac:dyDescent="0.15">
      <c r="A85" s="290"/>
      <c r="B85" s="290"/>
      <c r="C85" s="290"/>
      <c r="D85" s="293"/>
      <c r="E85" s="293"/>
      <c r="F85" s="293"/>
      <c r="G85" s="293"/>
      <c r="H85" s="293"/>
      <c r="I85" s="294"/>
      <c r="J85" s="294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</row>
    <row r="86" spans="1:42" ht="14" x14ac:dyDescent="0.15">
      <c r="A86" s="290"/>
      <c r="B86" s="290"/>
      <c r="C86" s="290"/>
      <c r="D86" s="290"/>
      <c r="E86" s="290"/>
      <c r="F86" s="290"/>
      <c r="G86" s="293"/>
      <c r="H86" s="293"/>
      <c r="I86" s="294"/>
      <c r="J86" s="294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</row>
    <row r="87" spans="1:42" ht="14" x14ac:dyDescent="0.15">
      <c r="A87" s="290"/>
      <c r="B87" s="290"/>
      <c r="C87" s="290"/>
      <c r="D87" s="293"/>
      <c r="E87" s="293"/>
      <c r="F87" s="293"/>
      <c r="G87" s="293"/>
      <c r="H87" s="293"/>
      <c r="I87" s="294"/>
      <c r="J87" s="294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</row>
    <row r="88" spans="1:42" ht="14" x14ac:dyDescent="0.15">
      <c r="A88" s="290"/>
      <c r="B88" s="290"/>
      <c r="C88" s="290"/>
      <c r="D88" s="290"/>
      <c r="E88" s="290"/>
      <c r="F88" s="290"/>
      <c r="G88" s="293"/>
      <c r="H88" s="293"/>
      <c r="I88" s="294"/>
      <c r="J88" s="294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</row>
    <row r="89" spans="1:42" ht="14" x14ac:dyDescent="0.15">
      <c r="A89" s="290"/>
      <c r="B89" s="290"/>
      <c r="C89" s="290"/>
      <c r="D89" s="293"/>
      <c r="E89" s="293"/>
      <c r="F89" s="293"/>
      <c r="G89" s="293"/>
      <c r="H89" s="293"/>
      <c r="I89" s="294"/>
      <c r="J89" s="294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</row>
    <row r="90" spans="1:42" ht="14" x14ac:dyDescent="0.15">
      <c r="A90" s="290"/>
      <c r="B90" s="290"/>
      <c r="C90" s="290"/>
      <c r="D90" s="290"/>
      <c r="E90" s="290"/>
      <c r="F90" s="290"/>
      <c r="G90" s="293"/>
      <c r="H90" s="293"/>
      <c r="I90" s="294"/>
      <c r="J90" s="294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</row>
    <row r="91" spans="1:42" ht="14" x14ac:dyDescent="0.15">
      <c r="A91" s="290"/>
      <c r="B91" s="290"/>
      <c r="C91" s="290"/>
      <c r="D91" s="293"/>
      <c r="E91" s="293"/>
      <c r="F91" s="293"/>
      <c r="G91" s="293"/>
      <c r="H91" s="293"/>
      <c r="I91" s="294"/>
      <c r="J91" s="294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</row>
    <row r="92" spans="1:42" ht="14" x14ac:dyDescent="0.15">
      <c r="A92" s="290"/>
      <c r="B92" s="290"/>
      <c r="C92" s="290"/>
      <c r="D92" s="290"/>
      <c r="E92" s="290"/>
      <c r="F92" s="290"/>
      <c r="G92" s="293"/>
      <c r="H92" s="293"/>
      <c r="I92" s="294"/>
      <c r="J92" s="294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</row>
    <row r="93" spans="1:42" ht="14" x14ac:dyDescent="0.15">
      <c r="A93" s="290"/>
      <c r="B93" s="290"/>
      <c r="C93" s="290"/>
      <c r="D93" s="293"/>
      <c r="E93" s="293"/>
      <c r="F93" s="293"/>
      <c r="G93" s="293"/>
      <c r="H93" s="293"/>
      <c r="I93" s="294"/>
      <c r="J93" s="294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</row>
  </sheetData>
  <sheetProtection algorithmName="SHA-512" hashValue="tPDPF2b6PP3fbSOe/laHvY/+PRe+fygJxK9w7LMauqW6CcuW/TuD0rBb7QEWrBVS8SabytepE2OQNPoBNbVeHg==" saltValue="UnWhiXo8D7L85Sn7DZw+mw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0" max="16383" man="1" pt="1"/>
  </rowBreaks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U39"/>
  <sheetViews>
    <sheetView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73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2" t="s">
        <v>184</v>
      </c>
      <c r="BP1" s="2" t="s">
        <v>185</v>
      </c>
      <c r="BQ1" s="4" t="s">
        <v>186</v>
      </c>
      <c r="BR1" s="4" t="s">
        <v>187</v>
      </c>
      <c r="BS1" s="2" t="s">
        <v>188</v>
      </c>
    </row>
    <row r="2" spans="1:73" x14ac:dyDescent="0.15">
      <c r="A2" s="24">
        <v>90</v>
      </c>
      <c r="B2" s="28">
        <v>41376</v>
      </c>
      <c r="C2" s="27" t="s">
        <v>92</v>
      </c>
      <c r="D2" s="24" t="s">
        <v>93</v>
      </c>
      <c r="E2" s="24"/>
      <c r="F2" s="24" t="s">
        <v>94</v>
      </c>
      <c r="G2" s="28">
        <v>41199</v>
      </c>
      <c r="H2" s="29" t="s">
        <v>95</v>
      </c>
      <c r="I2" s="29" t="s">
        <v>96</v>
      </c>
      <c r="J2" s="29"/>
      <c r="K2" s="24" t="s">
        <v>97</v>
      </c>
      <c r="L2" s="24" t="s">
        <v>98</v>
      </c>
      <c r="M2" s="24">
        <v>75.41</v>
      </c>
      <c r="N2" s="24">
        <v>35.351999999999997</v>
      </c>
      <c r="O2" s="24" t="s">
        <v>99</v>
      </c>
      <c r="P2" s="25">
        <v>2500</v>
      </c>
      <c r="Q2" s="24">
        <v>35.351999999999997</v>
      </c>
      <c r="R2" s="25"/>
      <c r="S2" s="24"/>
      <c r="T2" s="25"/>
      <c r="U2" s="24"/>
      <c r="V2" s="24"/>
      <c r="W2" s="24"/>
      <c r="X2" s="24"/>
      <c r="Y2" s="24"/>
      <c r="Z2" s="25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100</v>
      </c>
      <c r="AS2" s="29" t="s">
        <v>101</v>
      </c>
      <c r="AT2" s="29" t="s">
        <v>102</v>
      </c>
      <c r="AU2" s="29">
        <v>3</v>
      </c>
      <c r="AV2" s="29"/>
      <c r="AW2" s="29"/>
      <c r="AX2" s="29" t="s">
        <v>103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104</v>
      </c>
      <c r="BL2" s="29">
        <v>24</v>
      </c>
      <c r="BM2" s="29" t="s">
        <v>95</v>
      </c>
      <c r="BN2" s="29"/>
      <c r="BO2" s="30"/>
      <c r="BP2" s="30"/>
      <c r="BQ2" s="29"/>
      <c r="BR2" s="29" t="s">
        <v>95</v>
      </c>
      <c r="BS2" s="24" t="s">
        <v>105</v>
      </c>
      <c r="BT2" t="s">
        <v>106</v>
      </c>
      <c r="BU2" s="32" t="s">
        <v>107</v>
      </c>
    </row>
    <row r="3" spans="1:73" x14ac:dyDescent="0.15">
      <c r="A3" s="24">
        <v>158</v>
      </c>
      <c r="B3" s="28">
        <v>41376</v>
      </c>
      <c r="C3" s="27" t="s">
        <v>92</v>
      </c>
      <c r="D3" s="24" t="s">
        <v>93</v>
      </c>
      <c r="E3" s="24"/>
      <c r="F3" s="24" t="s">
        <v>108</v>
      </c>
      <c r="G3" s="28">
        <v>41296</v>
      </c>
      <c r="H3" s="29" t="s">
        <v>104</v>
      </c>
      <c r="I3" s="29" t="s">
        <v>109</v>
      </c>
      <c r="J3" s="29"/>
      <c r="K3" s="24" t="s">
        <v>110</v>
      </c>
      <c r="L3" s="24" t="s">
        <v>111</v>
      </c>
      <c r="M3" s="24">
        <v>94.17</v>
      </c>
      <c r="N3" s="24">
        <v>42.5</v>
      </c>
      <c r="O3" s="24" t="s">
        <v>99</v>
      </c>
      <c r="P3" s="25">
        <v>2500</v>
      </c>
      <c r="Q3" s="24">
        <v>43.04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112</v>
      </c>
      <c r="AS3" s="29" t="s">
        <v>104</v>
      </c>
      <c r="AT3" s="29"/>
      <c r="AU3" s="29"/>
      <c r="AV3" s="29"/>
      <c r="AW3" s="29"/>
      <c r="AX3" s="29" t="s">
        <v>104</v>
      </c>
      <c r="AY3" s="24"/>
      <c r="AZ3" s="29">
        <v>0</v>
      </c>
      <c r="BA3" s="29">
        <v>0</v>
      </c>
      <c r="BB3" s="29">
        <v>0</v>
      </c>
      <c r="BC3" s="29">
        <v>25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104</v>
      </c>
      <c r="BL3" s="29"/>
      <c r="BM3" s="29" t="s">
        <v>95</v>
      </c>
      <c r="BN3" s="29"/>
      <c r="BO3" s="24"/>
      <c r="BP3" s="24"/>
      <c r="BQ3" s="29"/>
      <c r="BR3" s="29" t="s">
        <v>95</v>
      </c>
      <c r="BS3" s="24"/>
      <c r="BT3" t="s">
        <v>113</v>
      </c>
      <c r="BU3" s="32" t="s">
        <v>114</v>
      </c>
    </row>
    <row r="4" spans="1:73" x14ac:dyDescent="0.15">
      <c r="A4" s="24">
        <v>202</v>
      </c>
      <c r="B4" s="28">
        <v>41373</v>
      </c>
      <c r="C4" s="27" t="s">
        <v>115</v>
      </c>
      <c r="D4" s="24" t="s">
        <v>116</v>
      </c>
      <c r="E4" s="24"/>
      <c r="F4" s="24" t="s">
        <v>117</v>
      </c>
      <c r="G4" s="28">
        <v>41090</v>
      </c>
      <c r="H4" s="29" t="s">
        <v>95</v>
      </c>
      <c r="I4" s="29" t="s">
        <v>109</v>
      </c>
      <c r="J4" s="29"/>
      <c r="K4" s="24" t="s">
        <v>118</v>
      </c>
      <c r="L4" s="24" t="s">
        <v>119</v>
      </c>
      <c r="M4" s="24">
        <v>94.08</v>
      </c>
      <c r="N4" s="24">
        <v>33.119999999999997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112</v>
      </c>
      <c r="AS4" s="29" t="s">
        <v>95</v>
      </c>
      <c r="AT4" s="29"/>
      <c r="AU4" s="29"/>
      <c r="AV4" s="29"/>
      <c r="AW4" s="29"/>
      <c r="AX4" s="29" t="s">
        <v>95</v>
      </c>
      <c r="AY4" s="24"/>
      <c r="AZ4" s="29">
        <v>0</v>
      </c>
      <c r="BA4" s="29">
        <v>0</v>
      </c>
      <c r="BB4" s="29">
        <v>7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95</v>
      </c>
      <c r="BL4" s="29"/>
      <c r="BM4" s="29" t="s">
        <v>95</v>
      </c>
      <c r="BN4" s="29"/>
      <c r="BO4" s="30"/>
      <c r="BP4" s="30"/>
      <c r="BQ4" s="29"/>
      <c r="BR4" s="29" t="s">
        <v>95</v>
      </c>
      <c r="BS4" s="24" t="s">
        <v>120</v>
      </c>
      <c r="BT4" t="s">
        <v>121</v>
      </c>
      <c r="BU4" s="32" t="s">
        <v>122</v>
      </c>
    </row>
    <row r="5" spans="1:73" x14ac:dyDescent="0.15">
      <c r="A5" s="24">
        <v>242</v>
      </c>
      <c r="B5" s="28">
        <v>41373</v>
      </c>
      <c r="C5" s="27" t="s">
        <v>92</v>
      </c>
      <c r="D5" s="24" t="s">
        <v>93</v>
      </c>
      <c r="E5" s="24"/>
      <c r="F5" s="24" t="s">
        <v>108</v>
      </c>
      <c r="G5" s="28">
        <v>41152</v>
      </c>
      <c r="H5" s="29" t="s">
        <v>101</v>
      </c>
      <c r="I5" s="29" t="s">
        <v>123</v>
      </c>
      <c r="J5" s="29"/>
      <c r="K5" s="24" t="s">
        <v>124</v>
      </c>
      <c r="L5" s="24" t="s">
        <v>125</v>
      </c>
      <c r="M5" s="24">
        <v>75.5</v>
      </c>
      <c r="N5" s="24">
        <v>35.1</v>
      </c>
      <c r="O5" s="24" t="s">
        <v>99</v>
      </c>
      <c r="P5" s="25">
        <v>2500</v>
      </c>
      <c r="Q5" s="24">
        <v>36.6</v>
      </c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112</v>
      </c>
      <c r="AS5" s="29" t="s">
        <v>104</v>
      </c>
      <c r="AT5" s="29"/>
      <c r="AU5" s="29"/>
      <c r="AV5" s="29" t="s">
        <v>126</v>
      </c>
      <c r="AW5" s="29">
        <v>7</v>
      </c>
      <c r="AX5" s="29" t="s">
        <v>104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104</v>
      </c>
      <c r="BL5" s="29"/>
      <c r="BM5" s="29" t="s">
        <v>95</v>
      </c>
      <c r="BN5" s="29"/>
      <c r="BO5" s="30" t="s">
        <v>127</v>
      </c>
      <c r="BP5" s="24"/>
      <c r="BQ5" s="29"/>
      <c r="BR5" s="29" t="s">
        <v>95</v>
      </c>
      <c r="BS5" s="24"/>
      <c r="BT5" t="s">
        <v>128</v>
      </c>
      <c r="BU5" s="32" t="s">
        <v>129</v>
      </c>
    </row>
    <row r="6" spans="1:73" x14ac:dyDescent="0.15">
      <c r="A6" s="24">
        <v>396</v>
      </c>
      <c r="B6" s="28">
        <v>41373</v>
      </c>
      <c r="C6" s="27" t="s">
        <v>92</v>
      </c>
      <c r="D6" s="24" t="s">
        <v>93</v>
      </c>
      <c r="E6" s="24"/>
      <c r="F6" s="24" t="s">
        <v>108</v>
      </c>
      <c r="G6" s="28">
        <v>41121</v>
      </c>
      <c r="H6" s="29" t="s">
        <v>101</v>
      </c>
      <c r="I6" s="29" t="s">
        <v>95</v>
      </c>
      <c r="J6" s="29"/>
      <c r="K6" s="24" t="s">
        <v>130</v>
      </c>
      <c r="L6" s="24" t="s">
        <v>131</v>
      </c>
      <c r="M6" s="24">
        <v>94.5</v>
      </c>
      <c r="N6" s="24">
        <v>30.98</v>
      </c>
      <c r="O6" s="24" t="s">
        <v>132</v>
      </c>
      <c r="P6" s="25">
        <v>1000</v>
      </c>
      <c r="Q6" s="24">
        <v>35.979999999999997</v>
      </c>
      <c r="R6" s="25">
        <v>2500</v>
      </c>
      <c r="S6" s="24">
        <v>37.979999999999997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112</v>
      </c>
      <c r="AS6" s="29" t="s">
        <v>95</v>
      </c>
      <c r="AT6" s="29"/>
      <c r="AU6" s="29"/>
      <c r="AV6" s="29" t="s">
        <v>133</v>
      </c>
      <c r="AW6" s="29">
        <v>8</v>
      </c>
      <c r="AX6" s="29" t="s">
        <v>134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135</v>
      </c>
      <c r="BL6" s="29"/>
      <c r="BM6" s="29" t="s">
        <v>95</v>
      </c>
      <c r="BN6" s="29"/>
      <c r="BO6" s="24"/>
      <c r="BP6" s="24"/>
      <c r="BQ6" s="29"/>
      <c r="BR6" s="29" t="s">
        <v>95</v>
      </c>
      <c r="BS6" s="24" t="s">
        <v>136</v>
      </c>
      <c r="BT6" t="s">
        <v>137</v>
      </c>
      <c r="BU6" s="32" t="s">
        <v>32</v>
      </c>
    </row>
    <row r="7" spans="1:73" x14ac:dyDescent="0.15">
      <c r="A7" s="24">
        <v>574</v>
      </c>
      <c r="B7" s="28">
        <v>41373</v>
      </c>
      <c r="C7" s="27" t="s">
        <v>92</v>
      </c>
      <c r="D7" s="24" t="s">
        <v>116</v>
      </c>
      <c r="E7" s="24"/>
      <c r="F7" s="24" t="s">
        <v>33</v>
      </c>
      <c r="G7" s="28">
        <v>41341</v>
      </c>
      <c r="H7" s="29" t="s">
        <v>101</v>
      </c>
      <c r="I7" s="29" t="s">
        <v>123</v>
      </c>
      <c r="J7" s="29"/>
      <c r="K7" s="24" t="s">
        <v>34</v>
      </c>
      <c r="L7" s="24" t="s">
        <v>35</v>
      </c>
      <c r="M7" s="24">
        <v>75.599999999999994</v>
      </c>
      <c r="N7" s="24">
        <v>37.942</v>
      </c>
      <c r="O7" s="24" t="s">
        <v>99</v>
      </c>
      <c r="P7" s="25">
        <v>2500</v>
      </c>
      <c r="Q7" s="24">
        <v>38.981299999999997</v>
      </c>
      <c r="R7" s="25">
        <v>22500</v>
      </c>
      <c r="S7" s="24">
        <v>39</v>
      </c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36</v>
      </c>
      <c r="AS7" s="29" t="s">
        <v>95</v>
      </c>
      <c r="AT7" s="29"/>
      <c r="AU7" s="29"/>
      <c r="AV7" s="29" t="s">
        <v>37</v>
      </c>
      <c r="AW7" s="29">
        <v>8.1999999999999993</v>
      </c>
      <c r="AX7" s="29" t="s">
        <v>103</v>
      </c>
      <c r="AY7" s="24"/>
      <c r="AZ7" s="29">
        <v>0</v>
      </c>
      <c r="BA7" s="29">
        <v>19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101</v>
      </c>
      <c r="BL7" s="29"/>
      <c r="BM7" s="29" t="s">
        <v>95</v>
      </c>
      <c r="BN7" s="29"/>
      <c r="BO7" s="24"/>
      <c r="BP7" s="24"/>
      <c r="BQ7" s="29"/>
      <c r="BR7" s="29" t="s">
        <v>95</v>
      </c>
      <c r="BS7" s="24"/>
      <c r="BT7" t="s">
        <v>38</v>
      </c>
      <c r="BU7" s="32" t="s">
        <v>39</v>
      </c>
    </row>
    <row r="8" spans="1:73" x14ac:dyDescent="0.15">
      <c r="A8" s="24">
        <v>703</v>
      </c>
      <c r="B8" s="28">
        <v>41375</v>
      </c>
      <c r="C8" s="27" t="s">
        <v>92</v>
      </c>
      <c r="D8" s="24" t="s">
        <v>93</v>
      </c>
      <c r="E8" s="24"/>
      <c r="F8" s="24" t="s">
        <v>108</v>
      </c>
      <c r="G8" s="28">
        <v>41182</v>
      </c>
      <c r="H8" s="29" t="s">
        <v>101</v>
      </c>
      <c r="I8" s="29" t="s">
        <v>95</v>
      </c>
      <c r="J8" s="29"/>
      <c r="K8" s="24" t="s">
        <v>40</v>
      </c>
      <c r="L8" s="24" t="s">
        <v>41</v>
      </c>
      <c r="M8" s="24">
        <v>104</v>
      </c>
      <c r="N8" s="24">
        <v>32.06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 t="s">
        <v>42</v>
      </c>
      <c r="AS8" s="29" t="s">
        <v>95</v>
      </c>
      <c r="AT8" s="29"/>
      <c r="AU8" s="29"/>
      <c r="AV8" s="29" t="s">
        <v>37</v>
      </c>
      <c r="AW8" s="29">
        <v>6.8</v>
      </c>
      <c r="AX8" s="29" t="s">
        <v>95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95</v>
      </c>
      <c r="BL8" s="29"/>
      <c r="BM8" s="29" t="s">
        <v>95</v>
      </c>
      <c r="BN8" s="29"/>
      <c r="BO8" s="30"/>
      <c r="BP8" s="30"/>
      <c r="BQ8" s="29"/>
      <c r="BR8" s="29" t="s">
        <v>95</v>
      </c>
      <c r="BS8" s="24"/>
      <c r="BT8" t="s">
        <v>43</v>
      </c>
      <c r="BU8" s="32" t="s">
        <v>44</v>
      </c>
    </row>
    <row r="9" spans="1:73" x14ac:dyDescent="0.15">
      <c r="A9" s="24">
        <v>836</v>
      </c>
      <c r="B9" s="28">
        <v>41376</v>
      </c>
      <c r="C9" s="27" t="s">
        <v>92</v>
      </c>
      <c r="D9" s="24" t="s">
        <v>45</v>
      </c>
      <c r="E9" s="24"/>
      <c r="F9" s="24" t="s">
        <v>108</v>
      </c>
      <c r="G9" s="28">
        <v>41090</v>
      </c>
      <c r="H9" s="29" t="s">
        <v>46</v>
      </c>
      <c r="I9" s="29" t="s">
        <v>123</v>
      </c>
      <c r="J9" s="29"/>
      <c r="K9" s="24" t="s">
        <v>47</v>
      </c>
      <c r="L9" s="24" t="s">
        <v>48</v>
      </c>
      <c r="M9" s="24">
        <v>81.569999999999993</v>
      </c>
      <c r="N9" s="24">
        <v>27.71</v>
      </c>
      <c r="O9" s="24" t="s">
        <v>99</v>
      </c>
      <c r="P9" s="25">
        <v>2500</v>
      </c>
      <c r="Q9" s="24">
        <v>29.46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112</v>
      </c>
      <c r="AS9" s="29" t="s">
        <v>95</v>
      </c>
      <c r="AT9" s="29"/>
      <c r="AU9" s="29"/>
      <c r="AV9" s="29" t="s">
        <v>37</v>
      </c>
      <c r="AW9" s="29">
        <v>7</v>
      </c>
      <c r="AX9" s="29" t="s">
        <v>95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36</v>
      </c>
      <c r="BK9" s="29" t="s">
        <v>95</v>
      </c>
      <c r="BL9" s="29"/>
      <c r="BM9" s="29" t="s">
        <v>95</v>
      </c>
      <c r="BN9" s="29"/>
      <c r="BO9" s="24"/>
      <c r="BP9" s="24"/>
      <c r="BQ9" s="29"/>
      <c r="BR9" s="29" t="s">
        <v>95</v>
      </c>
      <c r="BS9" s="24" t="s">
        <v>49</v>
      </c>
      <c r="BT9" t="s">
        <v>50</v>
      </c>
      <c r="BU9" s="32" t="s">
        <v>51</v>
      </c>
    </row>
    <row r="10" spans="1:73" x14ac:dyDescent="0.15">
      <c r="A10" s="24">
        <v>923</v>
      </c>
      <c r="B10" s="28">
        <v>41375</v>
      </c>
      <c r="C10" s="27" t="s">
        <v>92</v>
      </c>
      <c r="D10" s="24" t="s">
        <v>116</v>
      </c>
      <c r="E10" s="24"/>
      <c r="F10" s="24" t="s">
        <v>108</v>
      </c>
      <c r="G10" s="28">
        <v>41333</v>
      </c>
      <c r="H10" s="29" t="s">
        <v>52</v>
      </c>
      <c r="I10" s="29" t="s">
        <v>123</v>
      </c>
      <c r="J10" s="29"/>
      <c r="K10" s="24" t="s">
        <v>53</v>
      </c>
      <c r="L10" s="24" t="s">
        <v>54</v>
      </c>
      <c r="M10" s="24">
        <v>82.37</v>
      </c>
      <c r="N10" s="24">
        <v>35.479999999999997</v>
      </c>
      <c r="O10" s="24" t="s">
        <v>99</v>
      </c>
      <c r="P10" s="25">
        <v>1200</v>
      </c>
      <c r="Q10" s="24">
        <v>32.39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112</v>
      </c>
      <c r="AS10" s="29" t="s">
        <v>95</v>
      </c>
      <c r="AT10" s="29"/>
      <c r="AU10" s="29"/>
      <c r="AV10" s="29" t="s">
        <v>55</v>
      </c>
      <c r="AW10" s="29">
        <v>6.8</v>
      </c>
      <c r="AX10" s="29" t="s">
        <v>95</v>
      </c>
      <c r="AY10" s="24"/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101</v>
      </c>
      <c r="BL10" s="29"/>
      <c r="BM10" s="29" t="s">
        <v>95</v>
      </c>
      <c r="BN10" s="29"/>
      <c r="BO10" s="24"/>
      <c r="BP10" s="24"/>
      <c r="BQ10" s="29"/>
      <c r="BR10" s="29" t="s">
        <v>95</v>
      </c>
      <c r="BS10" s="24" t="s">
        <v>56</v>
      </c>
      <c r="BT10" t="s">
        <v>57</v>
      </c>
      <c r="BU10" s="32" t="s">
        <v>58</v>
      </c>
    </row>
    <row r="11" spans="1:73" x14ac:dyDescent="0.15">
      <c r="A11" s="24">
        <v>1150</v>
      </c>
      <c r="B11" s="28">
        <v>41374</v>
      </c>
      <c r="C11" s="27" t="s">
        <v>92</v>
      </c>
      <c r="D11" s="24" t="s">
        <v>116</v>
      </c>
      <c r="E11" s="24"/>
      <c r="F11" s="24" t="s">
        <v>108</v>
      </c>
      <c r="G11" s="28">
        <v>41264</v>
      </c>
      <c r="H11" s="29" t="s">
        <v>46</v>
      </c>
      <c r="I11" s="29" t="s">
        <v>123</v>
      </c>
      <c r="J11" s="29"/>
      <c r="K11" s="24" t="s">
        <v>59</v>
      </c>
      <c r="L11" s="24" t="s">
        <v>60</v>
      </c>
      <c r="M11" s="24">
        <v>75</v>
      </c>
      <c r="N11" s="24">
        <v>35.200000000000003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 t="s">
        <v>112</v>
      </c>
      <c r="AS11" s="29" t="s">
        <v>95</v>
      </c>
      <c r="AT11" s="29"/>
      <c r="AU11" s="29"/>
      <c r="AV11" s="29" t="s">
        <v>37</v>
      </c>
      <c r="AW11" s="29">
        <v>6.8</v>
      </c>
      <c r="AX11" s="29" t="s">
        <v>103</v>
      </c>
      <c r="AY11" s="24"/>
      <c r="AZ11" s="29">
        <v>0</v>
      </c>
      <c r="BA11" s="29">
        <v>20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12</v>
      </c>
      <c r="BK11" s="29" t="s">
        <v>101</v>
      </c>
      <c r="BL11" s="29"/>
      <c r="BM11" s="29" t="s">
        <v>95</v>
      </c>
      <c r="BN11" s="29"/>
      <c r="BO11" s="24"/>
      <c r="BP11" s="24"/>
      <c r="BQ11" s="29"/>
      <c r="BR11" s="29" t="s">
        <v>95</v>
      </c>
      <c r="BS11" s="30" t="s">
        <v>61</v>
      </c>
      <c r="BT11" t="s">
        <v>62</v>
      </c>
      <c r="BU11" s="32" t="s">
        <v>58</v>
      </c>
    </row>
    <row r="12" spans="1:73" x14ac:dyDescent="0.15">
      <c r="A12" s="24">
        <v>1324</v>
      </c>
      <c r="B12" s="28">
        <v>41376</v>
      </c>
      <c r="C12" s="27" t="s">
        <v>92</v>
      </c>
      <c r="D12" s="24" t="s">
        <v>45</v>
      </c>
      <c r="E12" s="24"/>
      <c r="F12" s="24" t="s">
        <v>63</v>
      </c>
      <c r="G12" s="28">
        <v>41348</v>
      </c>
      <c r="H12" s="29" t="s">
        <v>101</v>
      </c>
      <c r="I12" s="29" t="s">
        <v>95</v>
      </c>
      <c r="J12" s="29"/>
      <c r="K12" s="24" t="s">
        <v>64</v>
      </c>
      <c r="L12" s="24" t="s">
        <v>65</v>
      </c>
      <c r="M12" s="24">
        <v>80.790000000000006</v>
      </c>
      <c r="N12" s="24">
        <v>32.299999999999997</v>
      </c>
      <c r="O12" s="24" t="s">
        <v>99</v>
      </c>
      <c r="P12" s="25">
        <v>2500</v>
      </c>
      <c r="Q12" s="24">
        <v>32.299999999999997</v>
      </c>
      <c r="R12" s="25"/>
      <c r="S12" s="24"/>
      <c r="T12" s="25"/>
      <c r="U12" s="24"/>
      <c r="V12" s="24"/>
      <c r="W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 t="s">
        <v>112</v>
      </c>
      <c r="AS12" s="29" t="s">
        <v>95</v>
      </c>
      <c r="AT12" s="29"/>
      <c r="AU12" s="29"/>
      <c r="AV12" s="29" t="s">
        <v>37</v>
      </c>
      <c r="AW12" s="29">
        <v>8</v>
      </c>
      <c r="AX12" s="29" t="s">
        <v>134</v>
      </c>
      <c r="AY12" s="24"/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95</v>
      </c>
      <c r="BL12" s="29">
        <v>24</v>
      </c>
      <c r="BM12" s="29" t="s">
        <v>95</v>
      </c>
      <c r="BN12" s="29"/>
      <c r="BO12" s="30"/>
      <c r="BP12" s="30"/>
      <c r="BQ12" s="29"/>
      <c r="BR12" s="29" t="s">
        <v>95</v>
      </c>
      <c r="BS12" s="24" t="s">
        <v>66</v>
      </c>
      <c r="BT12" t="s">
        <v>67</v>
      </c>
      <c r="BU12" s="32" t="s">
        <v>39</v>
      </c>
    </row>
    <row r="13" spans="1:73" x14ac:dyDescent="0.15">
      <c r="A13" s="24">
        <v>1476</v>
      </c>
      <c r="B13" s="28">
        <v>41376</v>
      </c>
      <c r="C13" s="27" t="s">
        <v>92</v>
      </c>
      <c r="D13" s="24" t="s">
        <v>93</v>
      </c>
      <c r="E13" s="24"/>
      <c r="F13" s="24" t="s">
        <v>108</v>
      </c>
      <c r="G13" s="31">
        <v>41090</v>
      </c>
      <c r="H13" s="29" t="s">
        <v>95</v>
      </c>
      <c r="I13" s="29" t="s">
        <v>96</v>
      </c>
      <c r="J13" s="29"/>
      <c r="K13" s="24" t="s">
        <v>68</v>
      </c>
      <c r="L13" s="24" t="s">
        <v>69</v>
      </c>
      <c r="M13" s="24">
        <v>92.69</v>
      </c>
      <c r="N13" s="24">
        <v>31.49</v>
      </c>
      <c r="O13" s="24" t="s">
        <v>99</v>
      </c>
      <c r="P13" s="25">
        <v>2500</v>
      </c>
      <c r="Q13" s="24">
        <v>33.479999999999997</v>
      </c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70</v>
      </c>
      <c r="AS13" s="29" t="s">
        <v>95</v>
      </c>
      <c r="AT13" s="29"/>
      <c r="AU13" s="29"/>
      <c r="AV13" s="29"/>
      <c r="AW13" s="29"/>
      <c r="AX13" s="29" t="s">
        <v>103</v>
      </c>
      <c r="AY13" s="24"/>
      <c r="AZ13" s="29">
        <v>0</v>
      </c>
      <c r="BA13" s="29">
        <v>0</v>
      </c>
      <c r="BB13" s="29">
        <v>10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24</v>
      </c>
      <c r="BK13" s="29" t="s">
        <v>101</v>
      </c>
      <c r="BL13" s="29"/>
      <c r="BM13" s="29" t="s">
        <v>95</v>
      </c>
      <c r="BN13" s="29"/>
      <c r="BO13" s="24"/>
      <c r="BP13" s="24"/>
      <c r="BQ13" s="29"/>
      <c r="BR13" s="29" t="s">
        <v>95</v>
      </c>
      <c r="BS13" s="24"/>
      <c r="BT13" t="s">
        <v>71</v>
      </c>
      <c r="BU13" s="32" t="s">
        <v>51</v>
      </c>
    </row>
    <row r="14" spans="1:73" x14ac:dyDescent="0.15">
      <c r="A14" s="24">
        <v>2355</v>
      </c>
      <c r="B14" s="28">
        <v>41376</v>
      </c>
      <c r="C14" s="27" t="s">
        <v>92</v>
      </c>
      <c r="D14" s="24" t="s">
        <v>116</v>
      </c>
      <c r="E14" s="24"/>
      <c r="F14" s="24" t="s">
        <v>108</v>
      </c>
      <c r="G14" s="31">
        <v>41332</v>
      </c>
      <c r="H14" s="29" t="s">
        <v>101</v>
      </c>
      <c r="I14" s="29" t="s">
        <v>95</v>
      </c>
      <c r="J14" s="29"/>
      <c r="K14" s="24" t="s">
        <v>72</v>
      </c>
      <c r="L14" s="24" t="s">
        <v>73</v>
      </c>
      <c r="M14" s="24">
        <v>78.489999999999995</v>
      </c>
      <c r="N14" s="24">
        <v>33.75</v>
      </c>
      <c r="O14" s="24"/>
      <c r="P14" s="25"/>
      <c r="Q14" s="24"/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70</v>
      </c>
      <c r="AS14" s="29" t="s">
        <v>95</v>
      </c>
      <c r="AT14" s="29"/>
      <c r="AU14" s="29"/>
      <c r="AV14" s="29" t="s">
        <v>37</v>
      </c>
      <c r="AW14" s="29">
        <v>6.8</v>
      </c>
      <c r="AX14" s="29" t="s">
        <v>95</v>
      </c>
      <c r="AY14" s="24"/>
      <c r="AZ14" s="29">
        <v>0</v>
      </c>
      <c r="BA14" s="29">
        <v>15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24</v>
      </c>
      <c r="BK14" s="29" t="s">
        <v>101</v>
      </c>
      <c r="BL14" s="29"/>
      <c r="BM14" s="29" t="s">
        <v>95</v>
      </c>
      <c r="BN14" s="29"/>
      <c r="BO14" s="30" t="s">
        <v>74</v>
      </c>
      <c r="BP14" s="30" t="s">
        <v>75</v>
      </c>
      <c r="BQ14" s="29">
        <v>50</v>
      </c>
      <c r="BR14" s="29" t="s">
        <v>95</v>
      </c>
      <c r="BS14" s="24"/>
      <c r="BT14" t="s">
        <v>76</v>
      </c>
      <c r="BU14" s="32" t="s">
        <v>77</v>
      </c>
    </row>
    <row r="15" spans="1:73" x14ac:dyDescent="0.15">
      <c r="A15" s="24">
        <v>89</v>
      </c>
      <c r="B15" s="28">
        <v>41376</v>
      </c>
      <c r="C15" s="27" t="s">
        <v>92</v>
      </c>
      <c r="D15" s="24" t="s">
        <v>78</v>
      </c>
      <c r="E15" s="24"/>
      <c r="F15" s="24" t="s">
        <v>79</v>
      </c>
      <c r="G15" s="28">
        <v>41199</v>
      </c>
      <c r="H15" s="29" t="s">
        <v>95</v>
      </c>
      <c r="I15" s="29" t="s">
        <v>96</v>
      </c>
      <c r="J15" s="29"/>
      <c r="K15" s="24" t="s">
        <v>80</v>
      </c>
      <c r="L15" s="24" t="s">
        <v>98</v>
      </c>
      <c r="M15" s="24">
        <v>75.41</v>
      </c>
      <c r="N15" s="24">
        <v>35.351999999999997</v>
      </c>
      <c r="O15" s="24" t="s">
        <v>99</v>
      </c>
      <c r="P15" s="25">
        <v>2500</v>
      </c>
      <c r="Q15" s="24">
        <v>35.351999999999997</v>
      </c>
      <c r="R15" s="25"/>
      <c r="S15" s="24"/>
      <c r="T15" s="25"/>
      <c r="U15" s="24"/>
      <c r="V15" s="24"/>
      <c r="W15" s="24"/>
      <c r="X15" s="24"/>
      <c r="Y15" s="24"/>
      <c r="Z15" s="25"/>
      <c r="AA15" s="24"/>
      <c r="AB15" s="25"/>
      <c r="AC15" s="24"/>
      <c r="AD15" s="24"/>
      <c r="AE15" s="24"/>
      <c r="AF15" s="24">
        <v>15.35</v>
      </c>
      <c r="AG15" s="25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 t="s">
        <v>81</v>
      </c>
      <c r="AS15" s="29" t="s">
        <v>101</v>
      </c>
      <c r="AT15" s="29" t="s">
        <v>102</v>
      </c>
      <c r="AU15" s="29">
        <v>3</v>
      </c>
      <c r="AV15" s="29"/>
      <c r="AW15" s="29"/>
      <c r="AX15" s="29" t="s">
        <v>103</v>
      </c>
      <c r="AY15" s="24"/>
      <c r="AZ15" s="29">
        <v>0</v>
      </c>
      <c r="BA15" s="29">
        <v>16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/>
      <c r="BK15" s="29" t="s">
        <v>104</v>
      </c>
      <c r="BL15" s="29">
        <v>24</v>
      </c>
      <c r="BM15" s="29" t="s">
        <v>95</v>
      </c>
      <c r="BN15" s="29"/>
      <c r="BO15" s="30"/>
      <c r="BP15" s="30"/>
      <c r="BQ15" s="29"/>
      <c r="BR15" s="29" t="s">
        <v>95</v>
      </c>
      <c r="BS15" s="24" t="s">
        <v>0</v>
      </c>
      <c r="BT15" t="s">
        <v>1</v>
      </c>
      <c r="BU15" s="32" t="s">
        <v>107</v>
      </c>
    </row>
    <row r="16" spans="1:73" x14ac:dyDescent="0.15">
      <c r="A16" s="24">
        <v>157</v>
      </c>
      <c r="B16" s="28">
        <v>41376</v>
      </c>
      <c r="C16" s="27" t="s">
        <v>92</v>
      </c>
      <c r="D16" s="24" t="s">
        <v>116</v>
      </c>
      <c r="E16" s="24"/>
      <c r="F16" s="24" t="s">
        <v>2</v>
      </c>
      <c r="G16" s="28">
        <v>41296</v>
      </c>
      <c r="H16" s="29" t="s">
        <v>104</v>
      </c>
      <c r="I16" s="29" t="s">
        <v>109</v>
      </c>
      <c r="J16" s="29"/>
      <c r="K16" s="24" t="s">
        <v>110</v>
      </c>
      <c r="L16" s="24" t="s">
        <v>111</v>
      </c>
      <c r="M16" s="24">
        <v>94.17</v>
      </c>
      <c r="N16" s="24">
        <v>42.5</v>
      </c>
      <c r="O16" s="24" t="s">
        <v>3</v>
      </c>
      <c r="P16" s="25">
        <v>2500</v>
      </c>
      <c r="Q16" s="24">
        <v>43.04</v>
      </c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>
        <v>19.71</v>
      </c>
      <c r="AG16" s="25">
        <v>2000</v>
      </c>
      <c r="AH16" s="24">
        <v>21.2</v>
      </c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4</v>
      </c>
      <c r="AS16" s="29" t="s">
        <v>104</v>
      </c>
      <c r="AT16" s="29"/>
      <c r="AU16" s="29"/>
      <c r="AV16" s="29"/>
      <c r="AW16" s="29"/>
      <c r="AX16" s="29" t="s">
        <v>104</v>
      </c>
      <c r="AY16" s="24"/>
      <c r="AZ16" s="29">
        <v>0</v>
      </c>
      <c r="BA16" s="29">
        <v>0</v>
      </c>
      <c r="BB16" s="29">
        <v>0</v>
      </c>
      <c r="BC16" s="29">
        <v>25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/>
      <c r="BK16" s="29" t="s">
        <v>104</v>
      </c>
      <c r="BL16" s="29"/>
      <c r="BM16" s="29" t="s">
        <v>95</v>
      </c>
      <c r="BN16" s="29"/>
      <c r="BO16" s="24"/>
      <c r="BP16" s="24"/>
      <c r="BQ16" s="29"/>
      <c r="BR16" s="29" t="s">
        <v>95</v>
      </c>
      <c r="BS16" s="24"/>
      <c r="BT16" t="s">
        <v>5</v>
      </c>
      <c r="BU16" s="32" t="s">
        <v>114</v>
      </c>
    </row>
    <row r="17" spans="1:73" x14ac:dyDescent="0.15">
      <c r="A17" s="24">
        <v>201</v>
      </c>
      <c r="B17" s="28">
        <v>41373</v>
      </c>
      <c r="C17" s="27" t="s">
        <v>115</v>
      </c>
      <c r="D17" s="24" t="s">
        <v>116</v>
      </c>
      <c r="E17" s="24"/>
      <c r="F17" s="24" t="s">
        <v>79</v>
      </c>
      <c r="G17" s="28">
        <v>41090</v>
      </c>
      <c r="H17" s="29" t="s">
        <v>95</v>
      </c>
      <c r="I17" s="29" t="s">
        <v>109</v>
      </c>
      <c r="J17" s="29"/>
      <c r="K17" s="24" t="s">
        <v>118</v>
      </c>
      <c r="L17" s="24" t="s">
        <v>119</v>
      </c>
      <c r="M17" s="24">
        <v>94.08</v>
      </c>
      <c r="N17" s="24">
        <v>33.119999999999997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>
        <v>24.576000000000001</v>
      </c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6</v>
      </c>
      <c r="AS17" s="29" t="s">
        <v>95</v>
      </c>
      <c r="AT17" s="29"/>
      <c r="AU17" s="29"/>
      <c r="AV17" s="29"/>
      <c r="AW17" s="29"/>
      <c r="AX17" s="29" t="s">
        <v>95</v>
      </c>
      <c r="AY17" s="24"/>
      <c r="AZ17" s="29">
        <v>0</v>
      </c>
      <c r="BA17" s="29">
        <v>0</v>
      </c>
      <c r="BB17" s="29">
        <v>7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/>
      <c r="BK17" s="29" t="s">
        <v>95</v>
      </c>
      <c r="BL17" s="29"/>
      <c r="BM17" s="29" t="s">
        <v>95</v>
      </c>
      <c r="BN17" s="29"/>
      <c r="BO17" s="30"/>
      <c r="BP17" s="30"/>
      <c r="BQ17" s="29"/>
      <c r="BR17" s="29" t="s">
        <v>95</v>
      </c>
      <c r="BS17" s="24" t="s">
        <v>120</v>
      </c>
      <c r="BT17" t="s">
        <v>121</v>
      </c>
      <c r="BU17" s="32" t="s">
        <v>122</v>
      </c>
    </row>
    <row r="18" spans="1:73" x14ac:dyDescent="0.15">
      <c r="A18" s="24">
        <v>241</v>
      </c>
      <c r="B18" s="28">
        <v>41373</v>
      </c>
      <c r="C18" s="27" t="s">
        <v>92</v>
      </c>
      <c r="D18" s="24" t="s">
        <v>93</v>
      </c>
      <c r="E18" s="24"/>
      <c r="F18" s="24" t="s">
        <v>79</v>
      </c>
      <c r="G18" s="28">
        <v>41152</v>
      </c>
      <c r="H18" s="29" t="s">
        <v>101</v>
      </c>
      <c r="I18" s="29" t="s">
        <v>123</v>
      </c>
      <c r="J18" s="29"/>
      <c r="K18" s="24" t="s">
        <v>124</v>
      </c>
      <c r="L18" s="24" t="s">
        <v>125</v>
      </c>
      <c r="M18" s="24">
        <v>75.5</v>
      </c>
      <c r="N18" s="24">
        <v>35.1</v>
      </c>
      <c r="O18" s="24" t="s">
        <v>99</v>
      </c>
      <c r="P18" s="25">
        <v>2500</v>
      </c>
      <c r="Q18" s="24">
        <v>36.6</v>
      </c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>
        <v>16.100000000000001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4</v>
      </c>
      <c r="AS18" s="29" t="s">
        <v>104</v>
      </c>
      <c r="AT18" s="29"/>
      <c r="AU18" s="29"/>
      <c r="AV18" s="29" t="s">
        <v>126</v>
      </c>
      <c r="AW18" s="29">
        <v>7</v>
      </c>
      <c r="AX18" s="29" t="s">
        <v>104</v>
      </c>
      <c r="AY18" s="24"/>
      <c r="AZ18" s="29">
        <v>0</v>
      </c>
      <c r="BA18" s="29">
        <v>0</v>
      </c>
      <c r="BB18" s="29">
        <v>0</v>
      </c>
      <c r="BC18" s="29">
        <v>20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104</v>
      </c>
      <c r="BL18" s="29"/>
      <c r="BM18" s="29" t="s">
        <v>95</v>
      </c>
      <c r="BN18" s="29"/>
      <c r="BO18" s="30" t="s">
        <v>127</v>
      </c>
      <c r="BP18" s="24"/>
      <c r="BQ18" s="29"/>
      <c r="BR18" s="29" t="s">
        <v>95</v>
      </c>
      <c r="BS18" s="24"/>
      <c r="BT18" t="s">
        <v>128</v>
      </c>
      <c r="BU18" s="32" t="s">
        <v>129</v>
      </c>
    </row>
    <row r="19" spans="1:73" x14ac:dyDescent="0.15">
      <c r="A19" s="24">
        <v>395</v>
      </c>
      <c r="B19" s="28">
        <v>41373</v>
      </c>
      <c r="C19" s="27" t="s">
        <v>92</v>
      </c>
      <c r="D19" s="24" t="s">
        <v>93</v>
      </c>
      <c r="E19" s="24"/>
      <c r="F19" s="24" t="s">
        <v>79</v>
      </c>
      <c r="G19" s="28">
        <v>41121</v>
      </c>
      <c r="H19" s="29" t="s">
        <v>101</v>
      </c>
      <c r="I19" s="29" t="s">
        <v>123</v>
      </c>
      <c r="J19" s="29"/>
      <c r="K19" s="24" t="s">
        <v>130</v>
      </c>
      <c r="L19" s="24" t="s">
        <v>131</v>
      </c>
      <c r="M19" s="24">
        <v>94.5</v>
      </c>
      <c r="N19" s="24">
        <v>30.98</v>
      </c>
      <c r="O19" s="24" t="s">
        <v>132</v>
      </c>
      <c r="P19" s="25">
        <v>1000</v>
      </c>
      <c r="Q19" s="24">
        <v>35.979999999999997</v>
      </c>
      <c r="R19" s="25">
        <v>2500</v>
      </c>
      <c r="S19" s="24">
        <v>37.979999999999997</v>
      </c>
      <c r="T19" s="25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15.99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</v>
      </c>
      <c r="AS19" s="29" t="s">
        <v>95</v>
      </c>
      <c r="AT19" s="29"/>
      <c r="AU19" s="29"/>
      <c r="AV19" s="29" t="s">
        <v>133</v>
      </c>
      <c r="AW19" s="29">
        <v>8</v>
      </c>
      <c r="AX19" s="29" t="s">
        <v>134</v>
      </c>
      <c r="AY19" s="24"/>
      <c r="AZ19" s="29">
        <v>0</v>
      </c>
      <c r="BA19" s="29">
        <v>0</v>
      </c>
      <c r="BB19" s="29">
        <v>7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24</v>
      </c>
      <c r="BK19" s="29" t="s">
        <v>135</v>
      </c>
      <c r="BL19" s="29"/>
      <c r="BM19" s="29" t="s">
        <v>95</v>
      </c>
      <c r="BN19" s="29"/>
      <c r="BO19" s="24"/>
      <c r="BP19" s="24"/>
      <c r="BQ19" s="29"/>
      <c r="BR19" s="29" t="s">
        <v>95</v>
      </c>
      <c r="BS19" s="24" t="s">
        <v>136</v>
      </c>
      <c r="BT19" t="s">
        <v>137</v>
      </c>
      <c r="BU19" s="32" t="s">
        <v>32</v>
      </c>
    </row>
    <row r="20" spans="1:73" x14ac:dyDescent="0.15">
      <c r="A20" s="24">
        <v>573</v>
      </c>
      <c r="B20" s="28">
        <v>41373</v>
      </c>
      <c r="C20" s="27" t="s">
        <v>92</v>
      </c>
      <c r="D20" s="24" t="s">
        <v>93</v>
      </c>
      <c r="E20" s="24"/>
      <c r="F20" s="24" t="s">
        <v>79</v>
      </c>
      <c r="G20" s="28">
        <v>41341</v>
      </c>
      <c r="H20" s="29" t="s">
        <v>101</v>
      </c>
      <c r="I20" s="29" t="s">
        <v>123</v>
      </c>
      <c r="J20" s="29"/>
      <c r="K20" s="24" t="s">
        <v>34</v>
      </c>
      <c r="L20" s="24" t="s">
        <v>35</v>
      </c>
      <c r="M20" s="24">
        <v>75.599999999999994</v>
      </c>
      <c r="N20" s="24">
        <v>37.942</v>
      </c>
      <c r="O20" s="24" t="s">
        <v>99</v>
      </c>
      <c r="P20" s="25">
        <v>2500</v>
      </c>
      <c r="Q20" s="24">
        <v>38.981299999999997</v>
      </c>
      <c r="R20" s="25">
        <v>22500</v>
      </c>
      <c r="S20" s="24">
        <v>39</v>
      </c>
      <c r="T20" s="25"/>
      <c r="U20" s="24"/>
      <c r="V20" s="24"/>
      <c r="W20" s="24"/>
      <c r="X20" s="25"/>
      <c r="Y20" s="24"/>
      <c r="Z20" s="25"/>
      <c r="AA20" s="24"/>
      <c r="AB20" s="25"/>
      <c r="AC20" s="24"/>
      <c r="AD20" s="24"/>
      <c r="AE20" s="24"/>
      <c r="AF20" s="24">
        <v>14.4869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7</v>
      </c>
      <c r="AS20" s="29" t="s">
        <v>8</v>
      </c>
      <c r="AT20" s="29"/>
      <c r="AU20" s="29"/>
      <c r="AV20" s="29" t="s">
        <v>37</v>
      </c>
      <c r="AW20" s="29">
        <v>8.1999999999999993</v>
      </c>
      <c r="AX20" s="29" t="s">
        <v>103</v>
      </c>
      <c r="AY20" s="24"/>
      <c r="AZ20" s="29">
        <v>0</v>
      </c>
      <c r="BA20" s="29">
        <v>19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24</v>
      </c>
      <c r="BK20" s="29" t="s">
        <v>101</v>
      </c>
      <c r="BL20" s="29"/>
      <c r="BM20" s="29" t="s">
        <v>95</v>
      </c>
      <c r="BN20" s="29"/>
      <c r="BO20" s="24"/>
      <c r="BP20" s="24"/>
      <c r="BQ20" s="29"/>
      <c r="BR20" s="29" t="s">
        <v>95</v>
      </c>
      <c r="BS20" s="24"/>
      <c r="BT20" t="s">
        <v>38</v>
      </c>
      <c r="BU20" s="32" t="s">
        <v>39</v>
      </c>
    </row>
    <row r="21" spans="1:73" x14ac:dyDescent="0.15">
      <c r="A21" s="24">
        <v>702</v>
      </c>
      <c r="B21" s="28">
        <v>41375</v>
      </c>
      <c r="C21" s="27" t="s">
        <v>92</v>
      </c>
      <c r="D21" s="24" t="s">
        <v>93</v>
      </c>
      <c r="E21" s="24"/>
      <c r="F21" s="24" t="s">
        <v>79</v>
      </c>
      <c r="G21" s="28">
        <v>41182</v>
      </c>
      <c r="H21" s="29" t="s">
        <v>101</v>
      </c>
      <c r="I21" s="29" t="s">
        <v>95</v>
      </c>
      <c r="J21" s="29"/>
      <c r="K21" s="24" t="s">
        <v>40</v>
      </c>
      <c r="L21" s="24" t="s">
        <v>41</v>
      </c>
      <c r="M21" s="24">
        <v>104</v>
      </c>
      <c r="N21" s="24">
        <v>32.06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18.89</v>
      </c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7</v>
      </c>
      <c r="AS21" s="29" t="s">
        <v>95</v>
      </c>
      <c r="AT21" s="29"/>
      <c r="AU21" s="29"/>
      <c r="AV21" s="29" t="s">
        <v>37</v>
      </c>
      <c r="AW21" s="29">
        <v>6.8</v>
      </c>
      <c r="AX21" s="29" t="s">
        <v>95</v>
      </c>
      <c r="AY21" s="24"/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/>
      <c r="BK21" s="29" t="s">
        <v>95</v>
      </c>
      <c r="BL21" s="29"/>
      <c r="BM21" s="29" t="s">
        <v>95</v>
      </c>
      <c r="BN21" s="29"/>
      <c r="BO21" s="30"/>
      <c r="BP21" s="30"/>
      <c r="BQ21" s="29"/>
      <c r="BR21" s="29" t="s">
        <v>95</v>
      </c>
      <c r="BS21" s="24"/>
      <c r="BT21" t="s">
        <v>43</v>
      </c>
      <c r="BU21" s="32" t="s">
        <v>44</v>
      </c>
    </row>
    <row r="22" spans="1:73" x14ac:dyDescent="0.15">
      <c r="A22" s="24">
        <v>921</v>
      </c>
      <c r="B22" s="28">
        <v>41375</v>
      </c>
      <c r="C22" s="27" t="s">
        <v>92</v>
      </c>
      <c r="D22" s="24" t="s">
        <v>93</v>
      </c>
      <c r="E22" s="24"/>
      <c r="F22" s="24" t="s">
        <v>9</v>
      </c>
      <c r="G22" s="28">
        <v>41333</v>
      </c>
      <c r="H22" s="29" t="s">
        <v>101</v>
      </c>
      <c r="I22" s="29" t="s">
        <v>123</v>
      </c>
      <c r="J22" s="29"/>
      <c r="K22" s="24" t="s">
        <v>53</v>
      </c>
      <c r="L22" s="24" t="s">
        <v>54</v>
      </c>
      <c r="M22" s="24">
        <v>82.37</v>
      </c>
      <c r="N22" s="24">
        <v>35.479999999999997</v>
      </c>
      <c r="O22" s="24" t="s">
        <v>99</v>
      </c>
      <c r="P22" s="25">
        <v>1200</v>
      </c>
      <c r="Q22" s="24">
        <v>32.39</v>
      </c>
      <c r="R22" s="25"/>
      <c r="S22" s="24"/>
      <c r="T22" s="25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24.45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4</v>
      </c>
      <c r="AS22" s="29" t="s">
        <v>95</v>
      </c>
      <c r="AT22" s="29"/>
      <c r="AU22" s="29"/>
      <c r="AV22" s="29" t="s">
        <v>55</v>
      </c>
      <c r="AW22" s="29">
        <v>6.8</v>
      </c>
      <c r="AX22" s="29" t="s">
        <v>95</v>
      </c>
      <c r="AY22" s="24"/>
      <c r="AZ22" s="29">
        <v>0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12</v>
      </c>
      <c r="BK22" s="29" t="s">
        <v>101</v>
      </c>
      <c r="BL22" s="29"/>
      <c r="BM22" s="29" t="s">
        <v>95</v>
      </c>
      <c r="BN22" s="29"/>
      <c r="BO22" s="24"/>
      <c r="BP22" s="24"/>
      <c r="BQ22" s="29"/>
      <c r="BR22" s="29" t="s">
        <v>95</v>
      </c>
      <c r="BS22" s="24" t="s">
        <v>56</v>
      </c>
      <c r="BT22" t="s">
        <v>57</v>
      </c>
      <c r="BU22" s="32" t="s">
        <v>58</v>
      </c>
    </row>
    <row r="23" spans="1:73" x14ac:dyDescent="0.15">
      <c r="A23" s="24">
        <v>1149</v>
      </c>
      <c r="B23" s="28">
        <v>41374</v>
      </c>
      <c r="C23" s="27" t="s">
        <v>92</v>
      </c>
      <c r="D23" s="24" t="s">
        <v>116</v>
      </c>
      <c r="E23" s="24"/>
      <c r="F23" s="24" t="s">
        <v>79</v>
      </c>
      <c r="G23" s="28">
        <v>41264</v>
      </c>
      <c r="H23" s="29" t="s">
        <v>46</v>
      </c>
      <c r="I23" s="29" t="s">
        <v>123</v>
      </c>
      <c r="J23" s="29"/>
      <c r="K23" s="24" t="s">
        <v>10</v>
      </c>
      <c r="L23" s="24" t="s">
        <v>60</v>
      </c>
      <c r="M23" s="24">
        <v>75</v>
      </c>
      <c r="N23" s="24">
        <v>35.200000000000003</v>
      </c>
      <c r="O23" s="24"/>
      <c r="P23" s="24"/>
      <c r="Q23" s="24"/>
      <c r="R23" s="25"/>
      <c r="S23" s="24"/>
      <c r="T23" s="25"/>
      <c r="U23" s="24"/>
      <c r="V23" s="24"/>
      <c r="W23" s="24"/>
      <c r="X23" s="24"/>
      <c r="Y23" s="24"/>
      <c r="Z23" s="25"/>
      <c r="AA23" s="24"/>
      <c r="AB23" s="25"/>
      <c r="AC23" s="24"/>
      <c r="AD23" s="24"/>
      <c r="AE23" s="24"/>
      <c r="AF23" s="24">
        <v>15.2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7</v>
      </c>
      <c r="AS23" s="29" t="s">
        <v>95</v>
      </c>
      <c r="AT23" s="29"/>
      <c r="AU23" s="29"/>
      <c r="AV23" s="29" t="s">
        <v>37</v>
      </c>
      <c r="AW23" s="29">
        <v>6.8</v>
      </c>
      <c r="AX23" s="29" t="s">
        <v>103</v>
      </c>
      <c r="AY23" s="24"/>
      <c r="AZ23" s="29">
        <v>0</v>
      </c>
      <c r="BA23" s="29">
        <v>20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12</v>
      </c>
      <c r="BK23" s="29" t="s">
        <v>101</v>
      </c>
      <c r="BL23" s="29"/>
      <c r="BM23" s="29" t="s">
        <v>95</v>
      </c>
      <c r="BN23" s="29"/>
      <c r="BO23" s="24"/>
      <c r="BP23" s="24"/>
      <c r="BQ23" s="29"/>
      <c r="BR23" s="29" t="s">
        <v>95</v>
      </c>
      <c r="BS23" s="30" t="s">
        <v>61</v>
      </c>
      <c r="BT23" t="s">
        <v>62</v>
      </c>
      <c r="BU23" s="32" t="s">
        <v>58</v>
      </c>
    </row>
    <row r="24" spans="1:73" x14ac:dyDescent="0.15">
      <c r="A24" s="24">
        <v>1323</v>
      </c>
      <c r="B24" s="28">
        <v>41376</v>
      </c>
      <c r="C24" s="27" t="s">
        <v>92</v>
      </c>
      <c r="D24" s="24" t="s">
        <v>11</v>
      </c>
      <c r="E24" s="24"/>
      <c r="F24" s="24" t="s">
        <v>2</v>
      </c>
      <c r="G24" s="28">
        <v>41348</v>
      </c>
      <c r="H24" s="29" t="s">
        <v>101</v>
      </c>
      <c r="I24" s="29" t="s">
        <v>95</v>
      </c>
      <c r="J24" s="29"/>
      <c r="K24" s="24" t="s">
        <v>64</v>
      </c>
      <c r="L24" s="24" t="s">
        <v>65</v>
      </c>
      <c r="M24" s="24">
        <v>80.790000000000006</v>
      </c>
      <c r="N24" s="24">
        <v>32.299999999999997</v>
      </c>
      <c r="O24" s="24" t="s">
        <v>12</v>
      </c>
      <c r="P24" s="25">
        <v>2500</v>
      </c>
      <c r="Q24" s="24">
        <v>32.299999999999997</v>
      </c>
      <c r="R24" s="25"/>
      <c r="S24" s="24"/>
      <c r="T24" s="25"/>
      <c r="U24" s="24"/>
      <c r="V24" s="24"/>
      <c r="W24" s="24"/>
      <c r="X24" s="24"/>
      <c r="Y24" s="24"/>
      <c r="Z24" s="25"/>
      <c r="AA24" s="24"/>
      <c r="AB24" s="25"/>
      <c r="AC24" s="24"/>
      <c r="AD24" s="24"/>
      <c r="AE24" s="24"/>
      <c r="AF24" s="24">
        <v>16.5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</v>
      </c>
      <c r="AS24" s="29" t="s">
        <v>95</v>
      </c>
      <c r="AT24" s="29"/>
      <c r="AU24" s="29"/>
      <c r="AV24" s="29" t="s">
        <v>37</v>
      </c>
      <c r="AW24" s="29">
        <v>8</v>
      </c>
      <c r="AX24" s="29" t="s">
        <v>103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/>
      <c r="BK24" s="29" t="s">
        <v>95</v>
      </c>
      <c r="BL24" s="29">
        <v>24</v>
      </c>
      <c r="BM24" s="29" t="s">
        <v>95</v>
      </c>
      <c r="BN24" s="29"/>
      <c r="BO24" s="30"/>
      <c r="BP24" s="30"/>
      <c r="BQ24" s="29"/>
      <c r="BR24" s="29" t="s">
        <v>95</v>
      </c>
      <c r="BS24" s="24" t="s">
        <v>66</v>
      </c>
      <c r="BT24" t="s">
        <v>67</v>
      </c>
      <c r="BU24" s="32" t="s">
        <v>39</v>
      </c>
    </row>
    <row r="25" spans="1:73" x14ac:dyDescent="0.15">
      <c r="A25" s="24">
        <v>1475</v>
      </c>
      <c r="B25" s="28">
        <v>41376</v>
      </c>
      <c r="C25" s="27" t="s">
        <v>92</v>
      </c>
      <c r="D25" s="24" t="s">
        <v>78</v>
      </c>
      <c r="E25" s="24"/>
      <c r="F25" s="24" t="s">
        <v>79</v>
      </c>
      <c r="G25" s="31">
        <v>41090</v>
      </c>
      <c r="H25" s="29" t="s">
        <v>95</v>
      </c>
      <c r="I25" s="29" t="s">
        <v>109</v>
      </c>
      <c r="J25" s="29"/>
      <c r="K25" s="24" t="s">
        <v>68</v>
      </c>
      <c r="L25" s="24" t="s">
        <v>13</v>
      </c>
      <c r="M25" s="24">
        <v>92.69</v>
      </c>
      <c r="N25" s="24">
        <v>31.49</v>
      </c>
      <c r="O25" s="24" t="s">
        <v>14</v>
      </c>
      <c r="P25" s="25">
        <v>2500</v>
      </c>
      <c r="Q25" s="24">
        <v>33.479999999999997</v>
      </c>
      <c r="R25" s="25"/>
      <c r="S25" s="24"/>
      <c r="T25" s="25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>
        <v>17.5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 t="s">
        <v>6</v>
      </c>
      <c r="AS25" s="29" t="s">
        <v>95</v>
      </c>
      <c r="AT25" s="29"/>
      <c r="AU25" s="29"/>
      <c r="AV25" s="29"/>
      <c r="AW25" s="29"/>
      <c r="AX25" s="29" t="s">
        <v>103</v>
      </c>
      <c r="AY25" s="24"/>
      <c r="AZ25" s="29">
        <v>0</v>
      </c>
      <c r="BA25" s="29">
        <v>0</v>
      </c>
      <c r="BB25" s="29">
        <v>10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24</v>
      </c>
      <c r="BK25" s="29" t="s">
        <v>101</v>
      </c>
      <c r="BL25" s="29"/>
      <c r="BM25" s="29" t="s">
        <v>95</v>
      </c>
      <c r="BN25" s="29"/>
      <c r="BO25" s="24"/>
      <c r="BP25" s="24"/>
      <c r="BQ25" s="29"/>
      <c r="BR25" s="29" t="s">
        <v>95</v>
      </c>
      <c r="BS25" s="24"/>
      <c r="BT25" t="s">
        <v>71</v>
      </c>
      <c r="BU25" s="32" t="s">
        <v>51</v>
      </c>
    </row>
    <row r="26" spans="1:73" x14ac:dyDescent="0.15">
      <c r="A26" s="24">
        <v>2354</v>
      </c>
      <c r="B26" s="28">
        <v>41376</v>
      </c>
      <c r="C26" s="27" t="s">
        <v>92</v>
      </c>
      <c r="D26" s="24" t="s">
        <v>116</v>
      </c>
      <c r="E26" s="24"/>
      <c r="F26" s="24" t="s">
        <v>79</v>
      </c>
      <c r="G26" s="31">
        <v>41332</v>
      </c>
      <c r="H26" s="29" t="s">
        <v>101</v>
      </c>
      <c r="I26" s="29" t="s">
        <v>95</v>
      </c>
      <c r="J26" s="29"/>
      <c r="K26" s="24" t="s">
        <v>72</v>
      </c>
      <c r="L26" s="24" t="s">
        <v>73</v>
      </c>
      <c r="M26" s="24">
        <v>78.489999999999995</v>
      </c>
      <c r="N26" s="24">
        <v>33.75</v>
      </c>
      <c r="O26" s="24"/>
      <c r="P26" s="25"/>
      <c r="Q26" s="24"/>
      <c r="R26" s="25"/>
      <c r="S26" s="24"/>
      <c r="T26" s="25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>
        <v>20.72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 t="s">
        <v>4</v>
      </c>
      <c r="AS26" s="29" t="s">
        <v>95</v>
      </c>
      <c r="AT26" s="29"/>
      <c r="AU26" s="29"/>
      <c r="AV26" s="29" t="s">
        <v>37</v>
      </c>
      <c r="AW26" s="29">
        <v>6.8</v>
      </c>
      <c r="AX26" s="29" t="s">
        <v>95</v>
      </c>
      <c r="AY26" s="24"/>
      <c r="AZ26" s="29">
        <v>0</v>
      </c>
      <c r="BA26" s="29">
        <v>15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24</v>
      </c>
      <c r="BK26" s="29" t="s">
        <v>101</v>
      </c>
      <c r="BL26" s="29"/>
      <c r="BM26" s="29" t="s">
        <v>95</v>
      </c>
      <c r="BN26" s="29"/>
      <c r="BO26" s="30" t="s">
        <v>15</v>
      </c>
      <c r="BP26" s="30" t="s">
        <v>75</v>
      </c>
      <c r="BQ26" s="29">
        <v>50</v>
      </c>
      <c r="BR26" s="29" t="s">
        <v>95</v>
      </c>
      <c r="BS26" s="24"/>
      <c r="BT26" t="s">
        <v>16</v>
      </c>
      <c r="BU26" s="32" t="s">
        <v>77</v>
      </c>
    </row>
    <row r="27" spans="1:73" x14ac:dyDescent="0.15">
      <c r="A27" s="24">
        <v>92</v>
      </c>
      <c r="B27" s="28">
        <v>41376</v>
      </c>
      <c r="C27" s="27" t="s">
        <v>92</v>
      </c>
      <c r="D27" s="24" t="s">
        <v>116</v>
      </c>
      <c r="E27" s="24"/>
      <c r="F27" s="24" t="s">
        <v>17</v>
      </c>
      <c r="G27" s="28">
        <v>41199</v>
      </c>
      <c r="H27" s="29" t="s">
        <v>95</v>
      </c>
      <c r="I27" s="29" t="s">
        <v>96</v>
      </c>
      <c r="J27" s="29"/>
      <c r="K27" s="24" t="s">
        <v>97</v>
      </c>
      <c r="L27" s="24" t="s">
        <v>98</v>
      </c>
      <c r="M27" s="24">
        <v>75.41</v>
      </c>
      <c r="N27" s="24">
        <v>38.335000000000001</v>
      </c>
      <c r="O27" s="24"/>
      <c r="P27" s="25"/>
      <c r="Q27" s="24"/>
      <c r="R27" s="25"/>
      <c r="S27" s="24"/>
      <c r="T27" s="25"/>
      <c r="U27" s="24"/>
      <c r="V27" s="24"/>
      <c r="W27" s="24">
        <v>22.52</v>
      </c>
      <c r="X27" s="25"/>
      <c r="Y27" s="24"/>
      <c r="Z27" s="25"/>
      <c r="AA27" s="24"/>
      <c r="AB27" s="25"/>
      <c r="AC27" s="24"/>
      <c r="AE27" s="24"/>
      <c r="AF27" s="24"/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18</v>
      </c>
      <c r="AS27" s="29" t="s">
        <v>101</v>
      </c>
      <c r="AT27" s="29" t="s">
        <v>102</v>
      </c>
      <c r="AU27" s="29">
        <v>3</v>
      </c>
      <c r="AV27" s="29"/>
      <c r="AW27" s="29"/>
      <c r="AX27" s="29" t="s">
        <v>103</v>
      </c>
      <c r="AY27" s="24"/>
      <c r="AZ27" s="29">
        <v>0</v>
      </c>
      <c r="BA27" s="29">
        <v>16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104</v>
      </c>
      <c r="BL27" s="29">
        <v>24</v>
      </c>
      <c r="BM27" s="29" t="s">
        <v>95</v>
      </c>
      <c r="BN27" s="29"/>
      <c r="BO27" s="30"/>
      <c r="BP27" s="30"/>
      <c r="BQ27" s="29"/>
      <c r="BR27" s="29" t="s">
        <v>95</v>
      </c>
      <c r="BS27" s="24" t="s">
        <v>0</v>
      </c>
      <c r="BT27" t="s">
        <v>19</v>
      </c>
      <c r="BU27" s="32" t="s">
        <v>107</v>
      </c>
    </row>
    <row r="28" spans="1:73" x14ac:dyDescent="0.15">
      <c r="A28" s="24">
        <v>159</v>
      </c>
      <c r="B28" s="28">
        <v>41376</v>
      </c>
      <c r="C28" s="27" t="s">
        <v>92</v>
      </c>
      <c r="D28" s="24" t="s">
        <v>116</v>
      </c>
      <c r="E28" s="24"/>
      <c r="F28" s="24" t="s">
        <v>17</v>
      </c>
      <c r="G28" s="28">
        <v>41296</v>
      </c>
      <c r="H28" s="29" t="s">
        <v>95</v>
      </c>
      <c r="I28" s="29" t="s">
        <v>109</v>
      </c>
      <c r="J28" s="29"/>
      <c r="K28" s="24" t="s">
        <v>110</v>
      </c>
      <c r="L28" s="24" t="s">
        <v>111</v>
      </c>
      <c r="M28" s="24">
        <v>99.12</v>
      </c>
      <c r="N28" s="24">
        <v>48.73</v>
      </c>
      <c r="O28" s="24"/>
      <c r="P28" s="25"/>
      <c r="Q28" s="24"/>
      <c r="R28" s="25"/>
      <c r="S28" s="24"/>
      <c r="T28" s="25"/>
      <c r="U28" s="24"/>
      <c r="V28" s="24"/>
      <c r="W28" s="24">
        <v>28.65</v>
      </c>
      <c r="X28" s="24"/>
      <c r="Y28" s="24"/>
      <c r="Z28" s="24"/>
      <c r="AA28" s="24"/>
      <c r="AB28" s="24"/>
      <c r="AC28" s="24"/>
      <c r="AD28" s="24"/>
      <c r="AE28" s="24"/>
      <c r="AF28" s="24"/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 t="s">
        <v>20</v>
      </c>
      <c r="AS28" s="29" t="s">
        <v>95</v>
      </c>
      <c r="AT28" s="29"/>
      <c r="AU28" s="29"/>
      <c r="AV28" s="29"/>
      <c r="AW28" s="29"/>
      <c r="AX28" s="29" t="s">
        <v>95</v>
      </c>
      <c r="AY28" s="24"/>
      <c r="AZ28" s="29">
        <v>0</v>
      </c>
      <c r="BA28" s="29">
        <v>0</v>
      </c>
      <c r="BB28" s="29">
        <v>0</v>
      </c>
      <c r="BC28" s="29">
        <v>25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/>
      <c r="BK28" s="29" t="s">
        <v>95</v>
      </c>
      <c r="BL28" s="29"/>
      <c r="BM28" s="29" t="s">
        <v>95</v>
      </c>
      <c r="BN28" s="29"/>
      <c r="BO28" s="24"/>
      <c r="BP28" s="24"/>
      <c r="BQ28" s="29"/>
      <c r="BR28" s="29" t="s">
        <v>95</v>
      </c>
      <c r="BS28" s="24"/>
      <c r="BT28" t="s">
        <v>21</v>
      </c>
      <c r="BU28" s="32" t="s">
        <v>114</v>
      </c>
    </row>
    <row r="29" spans="1:73" x14ac:dyDescent="0.15">
      <c r="A29" s="24">
        <v>203</v>
      </c>
      <c r="B29" s="28">
        <v>41373</v>
      </c>
      <c r="C29" s="27" t="s">
        <v>115</v>
      </c>
      <c r="D29" s="24" t="s">
        <v>116</v>
      </c>
      <c r="E29" s="24"/>
      <c r="F29" s="24" t="s">
        <v>17</v>
      </c>
      <c r="G29" s="28">
        <v>41090</v>
      </c>
      <c r="H29" s="29" t="s">
        <v>95</v>
      </c>
      <c r="I29" s="29" t="s">
        <v>109</v>
      </c>
      <c r="J29" s="29"/>
      <c r="K29" s="24" t="s">
        <v>118</v>
      </c>
      <c r="L29" s="24" t="s">
        <v>119</v>
      </c>
      <c r="M29" s="24">
        <v>94.08</v>
      </c>
      <c r="N29" s="24">
        <v>36.192</v>
      </c>
      <c r="O29" s="24"/>
      <c r="P29" s="24"/>
      <c r="Q29" s="24"/>
      <c r="R29" s="24"/>
      <c r="S29" s="24"/>
      <c r="T29" s="24"/>
      <c r="U29" s="24"/>
      <c r="V29" s="24"/>
      <c r="W29" s="24">
        <v>26.495999999999999</v>
      </c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20</v>
      </c>
      <c r="AS29" s="29" t="s">
        <v>95</v>
      </c>
      <c r="AT29" s="29"/>
      <c r="AU29" s="29"/>
      <c r="AV29" s="29"/>
      <c r="AW29" s="29"/>
      <c r="AX29" s="29" t="s">
        <v>95</v>
      </c>
      <c r="AY29" s="24"/>
      <c r="AZ29" s="29">
        <v>0</v>
      </c>
      <c r="BA29" s="29">
        <v>0</v>
      </c>
      <c r="BB29" s="29">
        <v>7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/>
      <c r="BK29" s="29" t="s">
        <v>95</v>
      </c>
      <c r="BL29" s="29"/>
      <c r="BM29" s="29" t="s">
        <v>95</v>
      </c>
      <c r="BN29" s="29"/>
      <c r="BO29" s="30"/>
      <c r="BP29" s="30"/>
      <c r="BQ29" s="29"/>
      <c r="BR29" s="29" t="s">
        <v>95</v>
      </c>
      <c r="BS29" s="24" t="s">
        <v>120</v>
      </c>
      <c r="BT29" t="s">
        <v>121</v>
      </c>
      <c r="BU29" s="32" t="s">
        <v>122</v>
      </c>
    </row>
    <row r="30" spans="1:73" x14ac:dyDescent="0.15">
      <c r="A30" s="24">
        <v>243</v>
      </c>
      <c r="B30" s="28">
        <v>41373</v>
      </c>
      <c r="C30" s="27" t="s">
        <v>92</v>
      </c>
      <c r="D30" s="24" t="s">
        <v>93</v>
      </c>
      <c r="E30" s="24"/>
      <c r="F30" s="24" t="s">
        <v>22</v>
      </c>
      <c r="G30" s="28">
        <v>41152</v>
      </c>
      <c r="H30" s="29" t="s">
        <v>101</v>
      </c>
      <c r="I30" s="29" t="s">
        <v>95</v>
      </c>
      <c r="J30" s="29"/>
      <c r="K30" s="24" t="s">
        <v>124</v>
      </c>
      <c r="L30" s="24" t="s">
        <v>125</v>
      </c>
      <c r="M30" s="24">
        <v>75.5</v>
      </c>
      <c r="N30" s="24">
        <v>40.65</v>
      </c>
      <c r="O30" s="24"/>
      <c r="P30" s="25"/>
      <c r="Q30" s="24"/>
      <c r="R30" s="25"/>
      <c r="S30" s="24"/>
      <c r="T30" s="25"/>
      <c r="U30" s="24"/>
      <c r="V30" s="24"/>
      <c r="W30" s="24">
        <v>22.85</v>
      </c>
      <c r="X30" s="24"/>
      <c r="Y30" s="24"/>
      <c r="Z30" s="24"/>
      <c r="AA30" s="24"/>
      <c r="AB30" s="24"/>
      <c r="AC30" s="24"/>
      <c r="AD30" s="24"/>
      <c r="AE30" s="24"/>
      <c r="AF30" s="24"/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20</v>
      </c>
      <c r="AS30" s="29" t="s">
        <v>104</v>
      </c>
      <c r="AT30" s="29"/>
      <c r="AU30" s="29"/>
      <c r="AV30" s="29" t="s">
        <v>126</v>
      </c>
      <c r="AW30" s="29">
        <v>7</v>
      </c>
      <c r="AX30" s="29" t="s">
        <v>104</v>
      </c>
      <c r="AY30" s="24"/>
      <c r="AZ30" s="29">
        <v>0</v>
      </c>
      <c r="BA30" s="29">
        <v>0</v>
      </c>
      <c r="BB30" s="29">
        <v>0</v>
      </c>
      <c r="BC30" s="29">
        <v>20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/>
      <c r="BK30" s="29" t="s">
        <v>104</v>
      </c>
      <c r="BL30" s="29"/>
      <c r="BM30" s="29" t="s">
        <v>95</v>
      </c>
      <c r="BN30" s="29"/>
      <c r="BO30" s="30" t="s">
        <v>127</v>
      </c>
      <c r="BP30" s="24"/>
      <c r="BQ30" s="29"/>
      <c r="BR30" s="29" t="s">
        <v>95</v>
      </c>
      <c r="BS30" s="24"/>
      <c r="BT30" t="s">
        <v>128</v>
      </c>
      <c r="BU30" s="32" t="s">
        <v>129</v>
      </c>
    </row>
    <row r="31" spans="1:73" x14ac:dyDescent="0.15">
      <c r="A31" s="24">
        <v>397</v>
      </c>
      <c r="B31" s="28">
        <v>41373</v>
      </c>
      <c r="C31" s="27" t="s">
        <v>92</v>
      </c>
      <c r="D31" s="24" t="s">
        <v>93</v>
      </c>
      <c r="E31" s="24"/>
      <c r="F31" s="24" t="s">
        <v>17</v>
      </c>
      <c r="G31" s="28">
        <v>41121</v>
      </c>
      <c r="H31" s="29" t="s">
        <v>101</v>
      </c>
      <c r="I31" s="29" t="s">
        <v>95</v>
      </c>
      <c r="J31" s="29"/>
      <c r="K31" s="24" t="s">
        <v>130</v>
      </c>
      <c r="L31" s="24" t="s">
        <v>131</v>
      </c>
      <c r="M31" s="24">
        <v>97.9</v>
      </c>
      <c r="N31" s="24">
        <v>36.979999999999997</v>
      </c>
      <c r="O31" s="24" t="s">
        <v>132</v>
      </c>
      <c r="P31" s="25">
        <v>1000</v>
      </c>
      <c r="Q31" s="24">
        <v>38.99</v>
      </c>
      <c r="R31" s="25">
        <v>2500</v>
      </c>
      <c r="S31" s="24">
        <v>40.98</v>
      </c>
      <c r="T31" s="25"/>
      <c r="U31" s="24"/>
      <c r="V31" s="24"/>
      <c r="W31" s="24">
        <v>23.81</v>
      </c>
      <c r="X31" s="24"/>
      <c r="Y31" s="24"/>
      <c r="Z31" s="24"/>
      <c r="AA31" s="24"/>
      <c r="AB31" s="24"/>
      <c r="AC31" s="24"/>
      <c r="AD31" s="24"/>
      <c r="AE31" s="24"/>
      <c r="AF31" s="24"/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20</v>
      </c>
      <c r="AS31" s="29" t="s">
        <v>95</v>
      </c>
      <c r="AT31" s="29"/>
      <c r="AU31" s="29"/>
      <c r="AV31" s="29" t="s">
        <v>133</v>
      </c>
      <c r="AW31" s="29">
        <v>8</v>
      </c>
      <c r="AX31" s="29" t="s">
        <v>134</v>
      </c>
      <c r="AY31" s="24"/>
      <c r="AZ31" s="29">
        <v>0</v>
      </c>
      <c r="BA31" s="29">
        <v>0</v>
      </c>
      <c r="BB31" s="29">
        <v>7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24</v>
      </c>
      <c r="BK31" s="29" t="s">
        <v>135</v>
      </c>
      <c r="BL31" s="29"/>
      <c r="BM31" s="29" t="s">
        <v>95</v>
      </c>
      <c r="BN31" s="29"/>
      <c r="BO31" s="24"/>
      <c r="BP31" s="24"/>
      <c r="BQ31" s="29"/>
      <c r="BR31" s="29" t="s">
        <v>95</v>
      </c>
      <c r="BS31" s="24" t="s">
        <v>136</v>
      </c>
      <c r="BT31" t="s">
        <v>137</v>
      </c>
      <c r="BU31" s="32" t="s">
        <v>32</v>
      </c>
    </row>
    <row r="32" spans="1:73" x14ac:dyDescent="0.15">
      <c r="A32" s="24">
        <v>575</v>
      </c>
      <c r="B32" s="28">
        <v>41373</v>
      </c>
      <c r="C32" s="27" t="s">
        <v>92</v>
      </c>
      <c r="D32" s="24" t="s">
        <v>116</v>
      </c>
      <c r="E32" s="24"/>
      <c r="F32" s="24" t="s">
        <v>23</v>
      </c>
      <c r="G32" s="28">
        <v>41341</v>
      </c>
      <c r="H32" s="29" t="s">
        <v>101</v>
      </c>
      <c r="I32" s="29" t="s">
        <v>123</v>
      </c>
      <c r="J32" s="29"/>
      <c r="K32" s="24" t="s">
        <v>24</v>
      </c>
      <c r="L32" s="24" t="s">
        <v>35</v>
      </c>
      <c r="M32" s="24">
        <v>75.599999999999994</v>
      </c>
      <c r="N32" s="24">
        <v>44.77</v>
      </c>
      <c r="O32" s="24"/>
      <c r="P32" s="25"/>
      <c r="Q32" s="24"/>
      <c r="R32" s="25"/>
      <c r="S32" s="24"/>
      <c r="T32" s="25"/>
      <c r="U32" s="24"/>
      <c r="V32" s="24"/>
      <c r="W32" s="24">
        <v>19.803000000000001</v>
      </c>
      <c r="X32" s="25"/>
      <c r="Y32" s="24"/>
      <c r="Z32" s="25"/>
      <c r="AA32" s="24"/>
      <c r="AB32" s="25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25</v>
      </c>
      <c r="AS32" s="29" t="s">
        <v>8</v>
      </c>
      <c r="AT32" s="29"/>
      <c r="AU32" s="29"/>
      <c r="AV32" s="29" t="s">
        <v>37</v>
      </c>
      <c r="AW32" s="29">
        <v>8.1999999999999993</v>
      </c>
      <c r="AX32" s="29" t="s">
        <v>103</v>
      </c>
      <c r="AY32" s="24"/>
      <c r="AZ32" s="29">
        <v>0</v>
      </c>
      <c r="BA32" s="29">
        <v>19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24</v>
      </c>
      <c r="BK32" s="29" t="s">
        <v>101</v>
      </c>
      <c r="BL32" s="29"/>
      <c r="BM32" s="29" t="s">
        <v>95</v>
      </c>
      <c r="BN32" s="29"/>
      <c r="BO32" s="24"/>
      <c r="BP32" s="24"/>
      <c r="BQ32" s="29"/>
      <c r="BR32" s="29" t="s">
        <v>95</v>
      </c>
      <c r="BS32" s="24"/>
      <c r="BT32" t="s">
        <v>38</v>
      </c>
      <c r="BU32" s="32" t="s">
        <v>39</v>
      </c>
    </row>
    <row r="33" spans="1:73" x14ac:dyDescent="0.15">
      <c r="A33" s="24">
        <v>704</v>
      </c>
      <c r="B33" s="28">
        <v>41375</v>
      </c>
      <c r="C33" s="27" t="s">
        <v>92</v>
      </c>
      <c r="D33" s="24" t="s">
        <v>93</v>
      </c>
      <c r="E33" s="24"/>
      <c r="F33" s="24" t="s">
        <v>17</v>
      </c>
      <c r="G33" s="28">
        <v>41182</v>
      </c>
      <c r="H33" s="29" t="s">
        <v>101</v>
      </c>
      <c r="I33" s="29" t="s">
        <v>95</v>
      </c>
      <c r="J33" s="29"/>
      <c r="K33" s="24" t="s">
        <v>40</v>
      </c>
      <c r="L33" s="24" t="s">
        <v>41</v>
      </c>
      <c r="M33" s="24">
        <v>104</v>
      </c>
      <c r="N33" s="24">
        <v>41.16</v>
      </c>
      <c r="O33" s="24"/>
      <c r="P33" s="24"/>
      <c r="Q33" s="24"/>
      <c r="R33" s="24"/>
      <c r="S33" s="24"/>
      <c r="T33" s="24"/>
      <c r="U33" s="24"/>
      <c r="V33" s="24"/>
      <c r="W33" s="24">
        <v>20.61</v>
      </c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t="s">
        <v>20</v>
      </c>
      <c r="AS33" s="29" t="s">
        <v>95</v>
      </c>
      <c r="AT33" s="29"/>
      <c r="AU33" s="29"/>
      <c r="AV33" s="29" t="s">
        <v>37</v>
      </c>
      <c r="AW33" s="29">
        <v>6.8</v>
      </c>
      <c r="AX33" s="29" t="s">
        <v>95</v>
      </c>
      <c r="AY33" s="24"/>
      <c r="AZ33" s="29">
        <v>0</v>
      </c>
      <c r="BA33" s="29">
        <v>0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95</v>
      </c>
      <c r="BL33" s="29"/>
      <c r="BM33" s="29" t="s">
        <v>95</v>
      </c>
      <c r="BN33" s="29"/>
      <c r="BO33" s="30"/>
      <c r="BP33" s="30"/>
      <c r="BQ33" s="29"/>
      <c r="BR33" s="29" t="s">
        <v>95</v>
      </c>
      <c r="BS33" s="24"/>
      <c r="BT33" t="s">
        <v>43</v>
      </c>
      <c r="BU33" s="32" t="s">
        <v>44</v>
      </c>
    </row>
    <row r="34" spans="1:73" x14ac:dyDescent="0.15">
      <c r="A34" s="24">
        <v>837</v>
      </c>
      <c r="B34" s="28">
        <v>41376</v>
      </c>
      <c r="C34" s="27" t="s">
        <v>92</v>
      </c>
      <c r="D34" s="24" t="s">
        <v>45</v>
      </c>
      <c r="E34" s="24"/>
      <c r="F34" s="24" t="s">
        <v>17</v>
      </c>
      <c r="G34" s="28">
        <v>41090</v>
      </c>
      <c r="H34" s="29" t="s">
        <v>46</v>
      </c>
      <c r="I34" s="29" t="s">
        <v>95</v>
      </c>
      <c r="J34" s="29"/>
      <c r="K34" s="24" t="s">
        <v>47</v>
      </c>
      <c r="L34" s="24" t="s">
        <v>48</v>
      </c>
      <c r="M34" s="24">
        <v>81.569999999999993</v>
      </c>
      <c r="N34" s="24">
        <v>32.39</v>
      </c>
      <c r="O34" s="24" t="s">
        <v>99</v>
      </c>
      <c r="P34" s="25">
        <v>5000</v>
      </c>
      <c r="Q34" s="24">
        <v>32.39</v>
      </c>
      <c r="R34" s="25"/>
      <c r="S34" s="24"/>
      <c r="T34" s="25"/>
      <c r="U34" s="24"/>
      <c r="V34" s="24"/>
      <c r="W34" s="24">
        <v>20.78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20</v>
      </c>
      <c r="AS34" s="29" t="s">
        <v>95</v>
      </c>
      <c r="AT34" s="29"/>
      <c r="AU34" s="29"/>
      <c r="AV34" s="29" t="s">
        <v>37</v>
      </c>
      <c r="AW34" s="29">
        <v>7</v>
      </c>
      <c r="AX34" s="29" t="s">
        <v>95</v>
      </c>
      <c r="AY34" s="24"/>
      <c r="AZ34" s="29">
        <v>0</v>
      </c>
      <c r="BA34" s="29">
        <v>0</v>
      </c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36</v>
      </c>
      <c r="BK34" s="29" t="s">
        <v>95</v>
      </c>
      <c r="BL34" s="29"/>
      <c r="BM34" s="29" t="s">
        <v>95</v>
      </c>
      <c r="BN34" s="29"/>
      <c r="BO34" s="24"/>
      <c r="BP34" s="24"/>
      <c r="BQ34" s="29"/>
      <c r="BR34" s="29" t="s">
        <v>95</v>
      </c>
      <c r="BS34" s="24" t="s">
        <v>49</v>
      </c>
      <c r="BT34" t="s">
        <v>50</v>
      </c>
      <c r="BU34" s="32" t="s">
        <v>51</v>
      </c>
    </row>
    <row r="35" spans="1:73" x14ac:dyDescent="0.15">
      <c r="A35" s="24">
        <v>924</v>
      </c>
      <c r="B35" s="28">
        <v>41375</v>
      </c>
      <c r="C35" s="27" t="s">
        <v>92</v>
      </c>
      <c r="D35" s="24" t="s">
        <v>93</v>
      </c>
      <c r="E35" s="24"/>
      <c r="F35" s="24" t="s">
        <v>26</v>
      </c>
      <c r="G35" s="28">
        <v>41333</v>
      </c>
      <c r="H35" s="29" t="s">
        <v>101</v>
      </c>
      <c r="I35" s="29" t="s">
        <v>123</v>
      </c>
      <c r="J35" s="29"/>
      <c r="K35" s="24" t="s">
        <v>53</v>
      </c>
      <c r="L35" s="24" t="s">
        <v>54</v>
      </c>
      <c r="M35" s="24">
        <v>82.37</v>
      </c>
      <c r="N35" s="24">
        <v>45.31</v>
      </c>
      <c r="O35" s="24" t="s">
        <v>99</v>
      </c>
      <c r="P35" s="25">
        <v>1200</v>
      </c>
      <c r="Q35" s="24">
        <v>42.22</v>
      </c>
      <c r="R35" s="25"/>
      <c r="S35" s="24"/>
      <c r="T35" s="25"/>
      <c r="U35" s="24"/>
      <c r="V35" s="24"/>
      <c r="W35" s="24">
        <v>18.07</v>
      </c>
      <c r="X35" s="24"/>
      <c r="Y35" s="24"/>
      <c r="Z35" s="24"/>
      <c r="AA35" s="24"/>
      <c r="AB35" s="24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20</v>
      </c>
      <c r="AS35" s="29" t="s">
        <v>95</v>
      </c>
      <c r="AT35" s="29"/>
      <c r="AU35" s="29"/>
      <c r="AV35" s="29" t="s">
        <v>55</v>
      </c>
      <c r="AW35" s="29">
        <v>6.8</v>
      </c>
      <c r="AX35" s="29" t="s">
        <v>95</v>
      </c>
      <c r="AY35" s="24"/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12</v>
      </c>
      <c r="BK35" s="29" t="s">
        <v>101</v>
      </c>
      <c r="BL35" s="29"/>
      <c r="BM35" s="29" t="s">
        <v>95</v>
      </c>
      <c r="BN35" s="29"/>
      <c r="BO35" s="24"/>
      <c r="BP35" s="24"/>
      <c r="BQ35" s="29"/>
      <c r="BR35" s="29" t="s">
        <v>95</v>
      </c>
      <c r="BS35" s="24" t="s">
        <v>56</v>
      </c>
      <c r="BT35" t="s">
        <v>57</v>
      </c>
      <c r="BU35" s="32" t="s">
        <v>58</v>
      </c>
    </row>
    <row r="36" spans="1:73" x14ac:dyDescent="0.15">
      <c r="A36" s="24">
        <v>1151</v>
      </c>
      <c r="B36" s="28">
        <v>41374</v>
      </c>
      <c r="C36" s="27" t="s">
        <v>92</v>
      </c>
      <c r="D36" s="24" t="s">
        <v>116</v>
      </c>
      <c r="E36" s="24"/>
      <c r="F36" s="24" t="s">
        <v>23</v>
      </c>
      <c r="G36" s="28">
        <v>41264</v>
      </c>
      <c r="H36" s="29" t="s">
        <v>46</v>
      </c>
      <c r="I36" s="29" t="s">
        <v>123</v>
      </c>
      <c r="J36" s="29"/>
      <c r="K36" s="24" t="s">
        <v>59</v>
      </c>
      <c r="L36" s="24" t="s">
        <v>60</v>
      </c>
      <c r="M36" s="24">
        <v>75</v>
      </c>
      <c r="N36" s="24">
        <v>38.29</v>
      </c>
      <c r="O36" s="24"/>
      <c r="P36" s="25"/>
      <c r="Q36" s="24"/>
      <c r="R36" s="25"/>
      <c r="S36" s="24"/>
      <c r="T36" s="25"/>
      <c r="U36" s="24"/>
      <c r="V36" s="24"/>
      <c r="W36" s="24">
        <v>22.45</v>
      </c>
      <c r="X36" s="24"/>
      <c r="Y36" s="24"/>
      <c r="Z36" s="25"/>
      <c r="AA36" s="24"/>
      <c r="AB36" s="25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20</v>
      </c>
      <c r="AS36" s="29" t="s">
        <v>95</v>
      </c>
      <c r="AT36" s="29"/>
      <c r="AU36" s="29"/>
      <c r="AV36" s="29" t="s">
        <v>37</v>
      </c>
      <c r="AW36" s="29">
        <v>6.8</v>
      </c>
      <c r="AX36" s="29" t="s">
        <v>103</v>
      </c>
      <c r="AY36" s="24"/>
      <c r="AZ36" s="29">
        <v>0</v>
      </c>
      <c r="BA36" s="29">
        <v>20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12</v>
      </c>
      <c r="BK36" s="29" t="s">
        <v>101</v>
      </c>
      <c r="BL36" s="29"/>
      <c r="BM36" s="29" t="s">
        <v>95</v>
      </c>
      <c r="BN36" s="29"/>
      <c r="BO36" s="30"/>
      <c r="BP36" s="30"/>
      <c r="BQ36" s="29"/>
      <c r="BR36" s="29" t="s">
        <v>95</v>
      </c>
      <c r="BS36" s="30" t="s">
        <v>61</v>
      </c>
      <c r="BT36" t="s">
        <v>62</v>
      </c>
      <c r="BU36" s="32" t="s">
        <v>58</v>
      </c>
    </row>
    <row r="37" spans="1:73" x14ac:dyDescent="0.15">
      <c r="A37" s="24">
        <v>1325</v>
      </c>
      <c r="B37" s="28">
        <v>41376</v>
      </c>
      <c r="C37" s="27" t="s">
        <v>92</v>
      </c>
      <c r="D37" s="24" t="s">
        <v>93</v>
      </c>
      <c r="E37" s="24"/>
      <c r="F37" s="24" t="s">
        <v>23</v>
      </c>
      <c r="G37" s="28">
        <v>41348</v>
      </c>
      <c r="H37" s="29" t="s">
        <v>101</v>
      </c>
      <c r="I37" s="29" t="s">
        <v>95</v>
      </c>
      <c r="J37" s="29"/>
      <c r="K37" s="24" t="s">
        <v>64</v>
      </c>
      <c r="L37" s="24" t="s">
        <v>65</v>
      </c>
      <c r="M37" s="24">
        <v>80.790000000000006</v>
      </c>
      <c r="N37" s="24">
        <v>35.090000000000003</v>
      </c>
      <c r="O37" s="24"/>
      <c r="P37" s="25"/>
      <c r="Q37" s="24"/>
      <c r="R37" s="25"/>
      <c r="S37" s="24"/>
      <c r="T37" s="25"/>
      <c r="U37" s="24"/>
      <c r="V37" s="24"/>
      <c r="W37" s="24">
        <v>20.67</v>
      </c>
      <c r="X37" s="24"/>
      <c r="Y37" s="24"/>
      <c r="Z37" s="25"/>
      <c r="AA37" s="24"/>
      <c r="AB37" s="25"/>
      <c r="AC37" s="24"/>
      <c r="AD37" s="24"/>
      <c r="AE37" s="24"/>
      <c r="AF37" s="24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 t="s">
        <v>27</v>
      </c>
      <c r="AS37" s="29" t="s">
        <v>95</v>
      </c>
      <c r="AT37" s="29"/>
      <c r="AU37" s="29"/>
      <c r="AV37" s="29" t="s">
        <v>37</v>
      </c>
      <c r="AW37" s="29">
        <v>8</v>
      </c>
      <c r="AX37" s="29" t="s">
        <v>134</v>
      </c>
      <c r="AY37" s="24"/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/>
      <c r="BK37" s="29" t="s">
        <v>95</v>
      </c>
      <c r="BL37" s="29">
        <v>24</v>
      </c>
      <c r="BM37" s="29" t="s">
        <v>95</v>
      </c>
      <c r="BN37" s="29"/>
      <c r="BO37" s="30"/>
      <c r="BP37" s="30"/>
      <c r="BQ37" s="29"/>
      <c r="BR37" s="29" t="s">
        <v>95</v>
      </c>
      <c r="BS37" s="24" t="s">
        <v>66</v>
      </c>
      <c r="BT37" t="s">
        <v>67</v>
      </c>
      <c r="BU37" s="32" t="s">
        <v>39</v>
      </c>
    </row>
    <row r="38" spans="1:73" x14ac:dyDescent="0.15">
      <c r="A38" s="24">
        <v>1477</v>
      </c>
      <c r="B38" s="28">
        <v>41376</v>
      </c>
      <c r="C38" s="27" t="s">
        <v>92</v>
      </c>
      <c r="D38" s="24" t="s">
        <v>11</v>
      </c>
      <c r="E38" s="24"/>
      <c r="F38" s="24" t="s">
        <v>28</v>
      </c>
      <c r="G38" s="31">
        <v>41090</v>
      </c>
      <c r="H38" s="29" t="s">
        <v>95</v>
      </c>
      <c r="I38" s="29" t="s">
        <v>96</v>
      </c>
      <c r="J38" s="29"/>
      <c r="K38" s="24" t="s">
        <v>68</v>
      </c>
      <c r="L38" s="24" t="s">
        <v>13</v>
      </c>
      <c r="M38" s="24">
        <v>92.69</v>
      </c>
      <c r="N38" s="24">
        <v>36.81</v>
      </c>
      <c r="O38" s="24"/>
      <c r="P38" s="25"/>
      <c r="Q38" s="24"/>
      <c r="R38" s="25"/>
      <c r="S38" s="24"/>
      <c r="T38" s="25"/>
      <c r="U38" s="24"/>
      <c r="V38" s="24"/>
      <c r="W38" s="24">
        <v>23.61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 t="s">
        <v>20</v>
      </c>
      <c r="AS38" s="29" t="s">
        <v>95</v>
      </c>
      <c r="AT38" s="29"/>
      <c r="AU38" s="29"/>
      <c r="AV38" s="29"/>
      <c r="AW38" s="29"/>
      <c r="AX38" s="29" t="s">
        <v>103</v>
      </c>
      <c r="AY38" s="24"/>
      <c r="AZ38" s="29">
        <v>0</v>
      </c>
      <c r="BA38" s="29">
        <v>0</v>
      </c>
      <c r="BB38" s="29">
        <v>10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24</v>
      </c>
      <c r="BK38" s="29" t="s">
        <v>101</v>
      </c>
      <c r="BL38" s="29"/>
      <c r="BM38" s="29" t="s">
        <v>95</v>
      </c>
      <c r="BN38" s="29"/>
      <c r="BO38" s="24"/>
      <c r="BP38" s="24"/>
      <c r="BQ38" s="29"/>
      <c r="BR38" s="29" t="s">
        <v>95</v>
      </c>
      <c r="BS38" s="24"/>
      <c r="BT38" t="s">
        <v>71</v>
      </c>
      <c r="BU38" s="32" t="s">
        <v>51</v>
      </c>
    </row>
    <row r="39" spans="1:73" x14ac:dyDescent="0.15">
      <c r="A39" s="24">
        <v>2356</v>
      </c>
      <c r="B39" s="28">
        <v>41376</v>
      </c>
      <c r="C39" s="27" t="s">
        <v>92</v>
      </c>
      <c r="D39" s="24" t="s">
        <v>116</v>
      </c>
      <c r="E39" s="24"/>
      <c r="F39" s="24" t="s">
        <v>29</v>
      </c>
      <c r="G39" s="31">
        <v>41332</v>
      </c>
      <c r="H39" s="29" t="s">
        <v>101</v>
      </c>
      <c r="I39" s="29" t="s">
        <v>95</v>
      </c>
      <c r="J39" s="29"/>
      <c r="K39" s="24" t="s">
        <v>72</v>
      </c>
      <c r="L39" s="24" t="s">
        <v>73</v>
      </c>
      <c r="M39" s="24">
        <v>78.489999999999995</v>
      </c>
      <c r="N39" s="24">
        <v>39.58</v>
      </c>
      <c r="O39" s="24"/>
      <c r="P39" s="25"/>
      <c r="Q39" s="24"/>
      <c r="R39" s="25"/>
      <c r="S39" s="24"/>
      <c r="T39" s="25"/>
      <c r="U39" s="24"/>
      <c r="V39" s="24"/>
      <c r="W39" s="24">
        <v>23.18</v>
      </c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30</v>
      </c>
      <c r="AS39" s="29" t="s">
        <v>95</v>
      </c>
      <c r="AT39" s="29"/>
      <c r="AU39" s="29"/>
      <c r="AV39" s="29" t="s">
        <v>37</v>
      </c>
      <c r="AW39" s="29">
        <v>6.8</v>
      </c>
      <c r="AX39" s="29" t="s">
        <v>95</v>
      </c>
      <c r="AY39" s="24"/>
      <c r="AZ39" s="29">
        <v>0</v>
      </c>
      <c r="BA39" s="29">
        <v>15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24</v>
      </c>
      <c r="BK39" s="29" t="s">
        <v>101</v>
      </c>
      <c r="BL39" s="29"/>
      <c r="BM39" s="29" t="s">
        <v>95</v>
      </c>
      <c r="BN39" s="29"/>
      <c r="BO39" s="30" t="s">
        <v>15</v>
      </c>
      <c r="BP39" s="30" t="s">
        <v>75</v>
      </c>
      <c r="BQ39" s="29">
        <v>50</v>
      </c>
      <c r="BR39" s="29" t="s">
        <v>95</v>
      </c>
      <c r="BS39" s="24"/>
      <c r="BT39" t="s">
        <v>16</v>
      </c>
      <c r="BU39" s="32" t="s">
        <v>77</v>
      </c>
    </row>
  </sheetData>
  <sheetProtection algorithmName="SHA-512" hashValue="kySEHQBpVcQizVooerzqobvHwJ/p2vP86H3S2hPRtwrL2a/DvOrbAF4tY41esmxF/Id7/UpV31CN1Hjcmc1Zdw==" saltValue="kQfruetdW5gQl7fYhan+Fg==" spinCount="100000" sheet="1" objects="1" scenarios="1"/>
  <phoneticPr fontId="2" type="noConversion"/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45"/>
  <sheetViews>
    <sheetView topLeftCell="A10"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3" max="43" width="22.83203125" customWidth="1"/>
  </cols>
  <sheetData>
    <row r="1" spans="1:70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19" t="s">
        <v>249</v>
      </c>
      <c r="AX1" s="20" t="s">
        <v>250</v>
      </c>
      <c r="AY1" s="21" t="s">
        <v>251</v>
      </c>
      <c r="AZ1" s="22" t="s">
        <v>252</v>
      </c>
      <c r="BA1" s="21" t="s">
        <v>253</v>
      </c>
      <c r="BB1" s="22" t="s">
        <v>294</v>
      </c>
      <c r="BC1" s="21" t="s">
        <v>295</v>
      </c>
      <c r="BD1" s="22" t="s">
        <v>206</v>
      </c>
      <c r="BE1" s="21" t="s">
        <v>222</v>
      </c>
      <c r="BF1" s="23" t="s">
        <v>223</v>
      </c>
      <c r="BG1" s="21" t="s">
        <v>224</v>
      </c>
      <c r="BH1" s="23" t="s">
        <v>311</v>
      </c>
      <c r="BI1" s="4" t="s">
        <v>312</v>
      </c>
      <c r="BJ1" s="4" t="s">
        <v>313</v>
      </c>
      <c r="BK1" s="4" t="s">
        <v>314</v>
      </c>
      <c r="BL1" s="4" t="s">
        <v>229</v>
      </c>
      <c r="BM1" s="4" t="s">
        <v>230</v>
      </c>
      <c r="BN1" s="2" t="s">
        <v>184</v>
      </c>
      <c r="BO1" s="2" t="s">
        <v>185</v>
      </c>
      <c r="BP1" s="4" t="s">
        <v>186</v>
      </c>
      <c r="BQ1" s="4" t="s">
        <v>187</v>
      </c>
      <c r="BR1" s="2" t="s">
        <v>188</v>
      </c>
    </row>
    <row r="2" spans="1:70" x14ac:dyDescent="0.15">
      <c r="A2" s="24">
        <v>90</v>
      </c>
      <c r="B2" s="26">
        <v>41012</v>
      </c>
      <c r="C2" s="27" t="s">
        <v>291</v>
      </c>
      <c r="D2" s="24" t="s">
        <v>292</v>
      </c>
      <c r="E2" s="24"/>
      <c r="F2" s="24" t="s">
        <v>181</v>
      </c>
      <c r="G2" s="28">
        <v>40925</v>
      </c>
      <c r="H2" s="29" t="s">
        <v>239</v>
      </c>
      <c r="I2" s="29" t="s">
        <v>282</v>
      </c>
      <c r="J2" s="29"/>
      <c r="K2" s="24" t="s">
        <v>157</v>
      </c>
      <c r="L2" s="24" t="s">
        <v>139</v>
      </c>
      <c r="M2" s="24">
        <v>68.069999999999993</v>
      </c>
      <c r="N2" s="24">
        <v>31.337499999999999</v>
      </c>
      <c r="O2" s="24" t="s">
        <v>240</v>
      </c>
      <c r="P2" s="25">
        <v>2500</v>
      </c>
      <c r="Q2" s="24">
        <v>32.6</v>
      </c>
      <c r="R2" s="25"/>
      <c r="S2" s="24"/>
      <c r="T2" s="25"/>
      <c r="U2" s="24"/>
      <c r="V2" s="24"/>
      <c r="W2" s="24"/>
      <c r="X2" s="25"/>
      <c r="Y2" s="24"/>
      <c r="Z2" s="25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 t="s">
        <v>182</v>
      </c>
      <c r="AR2" s="29" t="s">
        <v>241</v>
      </c>
      <c r="AS2" s="29" t="s">
        <v>234</v>
      </c>
      <c r="AT2" s="29">
        <v>3</v>
      </c>
      <c r="AU2" s="29"/>
      <c r="AV2" s="29"/>
      <c r="AW2" s="29" t="s">
        <v>235</v>
      </c>
      <c r="AX2" s="24"/>
      <c r="AY2" s="29">
        <v>0</v>
      </c>
      <c r="AZ2" s="29">
        <v>15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 t="s">
        <v>239</v>
      </c>
      <c r="BK2" s="29">
        <v>24</v>
      </c>
      <c r="BL2" s="29" t="s">
        <v>239</v>
      </c>
      <c r="BM2" s="29"/>
      <c r="BN2" s="30" t="s">
        <v>194</v>
      </c>
      <c r="BO2" s="30" t="s">
        <v>195</v>
      </c>
      <c r="BP2" s="29">
        <v>25</v>
      </c>
      <c r="BQ2" s="29" t="s">
        <v>239</v>
      </c>
      <c r="BR2" s="24" t="s">
        <v>228</v>
      </c>
    </row>
    <row r="3" spans="1:70" x14ac:dyDescent="0.15">
      <c r="A3" s="24">
        <v>158</v>
      </c>
      <c r="B3" s="26">
        <v>41013</v>
      </c>
      <c r="C3" s="27" t="s">
        <v>291</v>
      </c>
      <c r="D3" s="24" t="s">
        <v>292</v>
      </c>
      <c r="E3" s="24"/>
      <c r="F3" s="24" t="s">
        <v>181</v>
      </c>
      <c r="G3" s="28">
        <v>40771</v>
      </c>
      <c r="H3" s="29" t="s">
        <v>239</v>
      </c>
      <c r="I3" s="29" t="s">
        <v>282</v>
      </c>
      <c r="J3" s="29"/>
      <c r="K3" s="24" t="s">
        <v>160</v>
      </c>
      <c r="L3" s="24" t="s">
        <v>161</v>
      </c>
      <c r="M3" s="24">
        <v>68</v>
      </c>
      <c r="N3" s="24">
        <v>30.69</v>
      </c>
      <c r="O3" s="24" t="s">
        <v>158</v>
      </c>
      <c r="P3" s="25">
        <v>2500</v>
      </c>
      <c r="Q3" s="24">
        <v>31.08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 t="s">
        <v>140</v>
      </c>
      <c r="AR3" s="29" t="s">
        <v>239</v>
      </c>
      <c r="AS3" s="29"/>
      <c r="AT3" s="29"/>
      <c r="AU3" s="29"/>
      <c r="AV3" s="29"/>
      <c r="AW3" s="29" t="s">
        <v>239</v>
      </c>
      <c r="AX3" s="24"/>
      <c r="AY3" s="29">
        <v>0</v>
      </c>
      <c r="AZ3" s="29">
        <v>0</v>
      </c>
      <c r="BA3" s="29">
        <v>0</v>
      </c>
      <c r="BB3" s="29">
        <v>25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 t="s">
        <v>239</v>
      </c>
      <c r="BK3" s="29"/>
      <c r="BL3" s="29" t="s">
        <v>239</v>
      </c>
      <c r="BM3" s="29"/>
      <c r="BN3" s="24"/>
      <c r="BO3" s="24"/>
      <c r="BP3" s="29"/>
      <c r="BQ3" s="29" t="s">
        <v>239</v>
      </c>
      <c r="BR3" s="24"/>
    </row>
    <row r="4" spans="1:70" x14ac:dyDescent="0.15">
      <c r="A4" s="24">
        <v>202</v>
      </c>
      <c r="B4" s="26">
        <v>41012</v>
      </c>
      <c r="C4" s="27" t="s">
        <v>291</v>
      </c>
      <c r="D4" s="24" t="s">
        <v>292</v>
      </c>
      <c r="E4" s="24"/>
      <c r="F4" s="24" t="s">
        <v>181</v>
      </c>
      <c r="G4" s="28">
        <v>40877</v>
      </c>
      <c r="H4" s="29" t="s">
        <v>239</v>
      </c>
      <c r="I4" s="29" t="s">
        <v>282</v>
      </c>
      <c r="J4" s="29"/>
      <c r="K4" s="24" t="s">
        <v>211</v>
      </c>
      <c r="L4" s="24" t="s">
        <v>212</v>
      </c>
      <c r="M4" s="24">
        <v>88</v>
      </c>
      <c r="N4" s="24">
        <v>31</v>
      </c>
      <c r="O4" s="24" t="s">
        <v>158</v>
      </c>
      <c r="P4" s="24">
        <v>2500</v>
      </c>
      <c r="Q4" s="24">
        <v>32.9</v>
      </c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 t="s">
        <v>140</v>
      </c>
      <c r="AR4" s="29" t="s">
        <v>239</v>
      </c>
      <c r="AS4" s="29"/>
      <c r="AT4" s="29"/>
      <c r="AU4" s="29"/>
      <c r="AV4" s="29"/>
      <c r="AW4" s="29" t="s">
        <v>239</v>
      </c>
      <c r="AX4" s="24"/>
      <c r="AY4" s="29">
        <v>0</v>
      </c>
      <c r="AZ4" s="29">
        <v>0</v>
      </c>
      <c r="BA4" s="29">
        <v>7</v>
      </c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 t="s">
        <v>239</v>
      </c>
      <c r="BK4" s="29"/>
      <c r="BL4" s="29" t="s">
        <v>239</v>
      </c>
      <c r="BM4" s="29"/>
      <c r="BN4" s="30"/>
      <c r="BO4" s="30"/>
      <c r="BP4" s="29"/>
      <c r="BQ4" s="29" t="s">
        <v>239</v>
      </c>
      <c r="BR4" s="24" t="s">
        <v>213</v>
      </c>
    </row>
    <row r="5" spans="1:70" x14ac:dyDescent="0.15">
      <c r="A5" s="24">
        <v>242</v>
      </c>
      <c r="B5" s="26">
        <v>41012</v>
      </c>
      <c r="C5" s="27" t="s">
        <v>291</v>
      </c>
      <c r="D5" s="24" t="s">
        <v>292</v>
      </c>
      <c r="E5" s="24"/>
      <c r="F5" s="24" t="s">
        <v>181</v>
      </c>
      <c r="G5" s="28">
        <v>40939</v>
      </c>
      <c r="H5" s="29" t="s">
        <v>150</v>
      </c>
      <c r="I5" s="29" t="s">
        <v>153</v>
      </c>
      <c r="J5" s="29"/>
      <c r="K5" s="24" t="s">
        <v>218</v>
      </c>
      <c r="L5" s="24" t="s">
        <v>219</v>
      </c>
      <c r="M5" s="24">
        <v>70.25</v>
      </c>
      <c r="N5" s="24">
        <v>30.6</v>
      </c>
      <c r="O5" s="24" t="s">
        <v>158</v>
      </c>
      <c r="P5" s="25">
        <v>2500</v>
      </c>
      <c r="Q5" s="24">
        <v>32.1</v>
      </c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 t="s">
        <v>140</v>
      </c>
      <c r="AR5" s="29" t="s">
        <v>153</v>
      </c>
      <c r="AS5" s="29"/>
      <c r="AT5" s="29"/>
      <c r="AU5" s="29" t="s">
        <v>159</v>
      </c>
      <c r="AV5" s="29">
        <v>7</v>
      </c>
      <c r="AW5" s="29" t="s">
        <v>153</v>
      </c>
      <c r="AX5" s="24"/>
      <c r="AY5" s="29">
        <v>0</v>
      </c>
      <c r="AZ5" s="29">
        <v>0</v>
      </c>
      <c r="BA5" s="29">
        <v>0</v>
      </c>
      <c r="BB5" s="29">
        <v>20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 t="s">
        <v>153</v>
      </c>
      <c r="BK5" s="29"/>
      <c r="BL5" s="29" t="s">
        <v>153</v>
      </c>
      <c r="BM5" s="29"/>
      <c r="BN5" s="30" t="s">
        <v>220</v>
      </c>
      <c r="BO5" s="24"/>
      <c r="BP5" s="29"/>
      <c r="BQ5" s="29" t="s">
        <v>153</v>
      </c>
      <c r="BR5" s="24"/>
    </row>
    <row r="6" spans="1:70" x14ac:dyDescent="0.15">
      <c r="A6" s="24">
        <v>396</v>
      </c>
      <c r="B6" s="26">
        <v>41012</v>
      </c>
      <c r="C6" s="27" t="s">
        <v>291</v>
      </c>
      <c r="D6" s="24" t="s">
        <v>292</v>
      </c>
      <c r="E6" s="24"/>
      <c r="F6" s="24" t="s">
        <v>181</v>
      </c>
      <c r="G6" s="28">
        <v>40755</v>
      </c>
      <c r="H6" s="29" t="s">
        <v>150</v>
      </c>
      <c r="I6" s="29" t="s">
        <v>153</v>
      </c>
      <c r="J6" s="29"/>
      <c r="K6" s="24" t="s">
        <v>271</v>
      </c>
      <c r="L6" s="24" t="s">
        <v>142</v>
      </c>
      <c r="M6" s="24">
        <v>74.8</v>
      </c>
      <c r="N6" s="24">
        <v>26.95</v>
      </c>
      <c r="O6" s="24" t="s">
        <v>240</v>
      </c>
      <c r="P6" s="25">
        <v>2500</v>
      </c>
      <c r="Q6" s="24">
        <v>29.15</v>
      </c>
      <c r="R6" s="25">
        <v>10000</v>
      </c>
      <c r="S6" s="24">
        <v>29.75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 t="s">
        <v>145</v>
      </c>
      <c r="AR6" s="29" t="s">
        <v>239</v>
      </c>
      <c r="AS6" s="29"/>
      <c r="AT6" s="29"/>
      <c r="AU6" s="29" t="s">
        <v>146</v>
      </c>
      <c r="AV6" s="29">
        <v>8</v>
      </c>
      <c r="AW6" s="29" t="s">
        <v>239</v>
      </c>
      <c r="AX6" s="24"/>
      <c r="AY6" s="29">
        <v>0</v>
      </c>
      <c r="AZ6" s="29">
        <v>0</v>
      </c>
      <c r="BA6" s="29">
        <v>3</v>
      </c>
      <c r="BB6" s="29">
        <v>0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24</v>
      </c>
      <c r="BJ6" s="29" t="s">
        <v>241</v>
      </c>
      <c r="BK6" s="29"/>
      <c r="BL6" s="29" t="s">
        <v>239</v>
      </c>
      <c r="BM6" s="29"/>
      <c r="BN6" s="24"/>
      <c r="BO6" s="24"/>
      <c r="BP6" s="29"/>
      <c r="BQ6" s="29" t="s">
        <v>239</v>
      </c>
      <c r="BR6" s="24" t="s">
        <v>183</v>
      </c>
    </row>
    <row r="7" spans="1:70" x14ac:dyDescent="0.15">
      <c r="A7" s="24">
        <v>574</v>
      </c>
      <c r="B7" s="26">
        <v>41012</v>
      </c>
      <c r="C7" s="27" t="s">
        <v>291</v>
      </c>
      <c r="D7" s="24" t="s">
        <v>292</v>
      </c>
      <c r="E7" s="24"/>
      <c r="F7" s="24" t="s">
        <v>181</v>
      </c>
      <c r="G7" s="28">
        <v>40939</v>
      </c>
      <c r="H7" s="29" t="s">
        <v>241</v>
      </c>
      <c r="I7" s="29" t="s">
        <v>239</v>
      </c>
      <c r="J7" s="29"/>
      <c r="K7" s="24" t="s">
        <v>143</v>
      </c>
      <c r="L7" s="24" t="s">
        <v>144</v>
      </c>
      <c r="M7" s="24">
        <v>75.599999999999994</v>
      </c>
      <c r="N7" s="24">
        <v>32.200000000000003</v>
      </c>
      <c r="O7" s="24" t="s">
        <v>158</v>
      </c>
      <c r="P7" s="25">
        <v>2500</v>
      </c>
      <c r="Q7" s="24">
        <v>34.65</v>
      </c>
      <c r="R7" s="25">
        <v>25000</v>
      </c>
      <c r="S7" s="24">
        <v>34.96</v>
      </c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 t="s">
        <v>140</v>
      </c>
      <c r="AR7" s="29" t="s">
        <v>239</v>
      </c>
      <c r="AS7" s="29"/>
      <c r="AT7" s="29"/>
      <c r="AU7" s="29" t="s">
        <v>159</v>
      </c>
      <c r="AV7" s="29">
        <v>6.8</v>
      </c>
      <c r="AW7" s="29" t="s">
        <v>235</v>
      </c>
      <c r="AX7" s="24"/>
      <c r="AY7" s="29">
        <v>0</v>
      </c>
      <c r="AZ7" s="29">
        <v>21</v>
      </c>
      <c r="BA7" s="29">
        <v>0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24</v>
      </c>
      <c r="BJ7" s="29" t="s">
        <v>241</v>
      </c>
      <c r="BK7" s="29"/>
      <c r="BL7" s="29" t="s">
        <v>239</v>
      </c>
      <c r="BM7" s="29"/>
      <c r="BN7" s="24"/>
      <c r="BO7" s="24"/>
      <c r="BP7" s="29"/>
      <c r="BQ7" s="29" t="s">
        <v>239</v>
      </c>
      <c r="BR7" s="24"/>
    </row>
    <row r="8" spans="1:70" x14ac:dyDescent="0.15">
      <c r="A8" s="24">
        <v>703</v>
      </c>
      <c r="B8" s="26">
        <v>41012</v>
      </c>
      <c r="C8" s="27" t="s">
        <v>291</v>
      </c>
      <c r="D8" s="24" t="s">
        <v>292</v>
      </c>
      <c r="E8" s="24"/>
      <c r="F8" s="24" t="s">
        <v>181</v>
      </c>
      <c r="G8" s="28">
        <v>40999</v>
      </c>
      <c r="H8" s="29" t="s">
        <v>241</v>
      </c>
      <c r="I8" s="29" t="s">
        <v>239</v>
      </c>
      <c r="J8" s="29"/>
      <c r="K8" s="24" t="s">
        <v>147</v>
      </c>
      <c r="L8" s="24" t="s">
        <v>148</v>
      </c>
      <c r="M8" s="24">
        <v>99</v>
      </c>
      <c r="N8" s="24">
        <v>30.37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140</v>
      </c>
      <c r="AR8" s="29" t="s">
        <v>239</v>
      </c>
      <c r="AS8" s="29"/>
      <c r="AT8" s="29"/>
      <c r="AU8" s="29" t="s">
        <v>159</v>
      </c>
      <c r="AV8" s="29">
        <v>6.8</v>
      </c>
      <c r="AW8" s="29" t="s">
        <v>239</v>
      </c>
      <c r="AX8" s="24"/>
      <c r="AY8" s="29">
        <v>0</v>
      </c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 t="s">
        <v>239</v>
      </c>
      <c r="BK8" s="29"/>
      <c r="BL8" s="29" t="s">
        <v>239</v>
      </c>
      <c r="BM8" s="29"/>
      <c r="BN8" s="30"/>
      <c r="BO8" s="30"/>
      <c r="BP8" s="29"/>
      <c r="BQ8" s="29" t="s">
        <v>239</v>
      </c>
      <c r="BR8" s="24"/>
    </row>
    <row r="9" spans="1:70" x14ac:dyDescent="0.15">
      <c r="A9" s="24">
        <v>836</v>
      </c>
      <c r="B9" s="26">
        <v>41012</v>
      </c>
      <c r="C9" s="27" t="s">
        <v>291</v>
      </c>
      <c r="D9" s="24" t="s">
        <v>292</v>
      </c>
      <c r="E9" s="24"/>
      <c r="F9" s="24" t="s">
        <v>181</v>
      </c>
      <c r="G9" s="28">
        <v>40908</v>
      </c>
      <c r="H9" s="29" t="s">
        <v>241</v>
      </c>
      <c r="I9" s="29" t="s">
        <v>239</v>
      </c>
      <c r="J9" s="29"/>
      <c r="K9" s="24" t="s">
        <v>242</v>
      </c>
      <c r="L9" s="24" t="s">
        <v>243</v>
      </c>
      <c r="M9" s="24">
        <v>75.97</v>
      </c>
      <c r="N9" s="24">
        <v>24.05</v>
      </c>
      <c r="O9" s="24" t="s">
        <v>158</v>
      </c>
      <c r="P9" s="25">
        <v>2500</v>
      </c>
      <c r="Q9" s="24">
        <v>24.37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 t="s">
        <v>140</v>
      </c>
      <c r="AR9" s="29" t="s">
        <v>239</v>
      </c>
      <c r="AS9" s="29"/>
      <c r="AT9" s="29"/>
      <c r="AU9" s="29" t="s">
        <v>159</v>
      </c>
      <c r="AV9" s="29">
        <v>7</v>
      </c>
      <c r="AW9" s="29" t="s">
        <v>239</v>
      </c>
      <c r="AX9" s="24"/>
      <c r="AY9" s="29">
        <v>0</v>
      </c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36</v>
      </c>
      <c r="BJ9" s="29" t="s">
        <v>239</v>
      </c>
      <c r="BK9" s="29"/>
      <c r="BL9" s="29" t="s">
        <v>239</v>
      </c>
      <c r="BM9" s="29"/>
      <c r="BN9" s="24"/>
      <c r="BO9" s="24"/>
      <c r="BP9" s="29"/>
      <c r="BQ9" s="29" t="s">
        <v>239</v>
      </c>
      <c r="BR9" s="24" t="s">
        <v>189</v>
      </c>
    </row>
    <row r="10" spans="1:70" x14ac:dyDescent="0.15">
      <c r="A10" s="24">
        <v>923</v>
      </c>
      <c r="B10" s="26">
        <v>41012</v>
      </c>
      <c r="C10" s="27" t="s">
        <v>291</v>
      </c>
      <c r="D10" s="24" t="s">
        <v>292</v>
      </c>
      <c r="E10" s="24"/>
      <c r="F10" s="24" t="s">
        <v>181</v>
      </c>
      <c r="G10" s="28">
        <v>40982</v>
      </c>
      <c r="H10" s="29" t="s">
        <v>241</v>
      </c>
      <c r="I10" s="29" t="s">
        <v>239</v>
      </c>
      <c r="J10" s="29"/>
      <c r="K10" s="24" t="s">
        <v>190</v>
      </c>
      <c r="L10" s="24" t="s">
        <v>86</v>
      </c>
      <c r="M10" s="24">
        <v>82.6</v>
      </c>
      <c r="N10" s="24">
        <v>31.69</v>
      </c>
      <c r="O10" s="24" t="s">
        <v>158</v>
      </c>
      <c r="P10" s="25">
        <v>1200</v>
      </c>
      <c r="Q10" s="24">
        <v>29.42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 t="s">
        <v>140</v>
      </c>
      <c r="AR10" s="29" t="s">
        <v>239</v>
      </c>
      <c r="AS10" s="29"/>
      <c r="AT10" s="29"/>
      <c r="AU10" s="29" t="s">
        <v>159</v>
      </c>
      <c r="AV10" s="29">
        <v>6.8</v>
      </c>
      <c r="AW10" s="29" t="s">
        <v>239</v>
      </c>
      <c r="AX10" s="24"/>
      <c r="AY10" s="29">
        <v>0</v>
      </c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12</v>
      </c>
      <c r="BJ10" s="29" t="s">
        <v>241</v>
      </c>
      <c r="BK10" s="29"/>
      <c r="BL10" s="29" t="s">
        <v>239</v>
      </c>
      <c r="BM10" s="29"/>
      <c r="BN10" s="24"/>
      <c r="BO10" s="24"/>
      <c r="BP10" s="29"/>
      <c r="BQ10" s="29" t="s">
        <v>239</v>
      </c>
      <c r="BR10" s="24" t="s">
        <v>87</v>
      </c>
    </row>
    <row r="11" spans="1:70" x14ac:dyDescent="0.15">
      <c r="A11" s="24">
        <v>1150</v>
      </c>
      <c r="B11" s="26">
        <v>41013</v>
      </c>
      <c r="C11" s="27" t="s">
        <v>291</v>
      </c>
      <c r="D11" s="24" t="s">
        <v>292</v>
      </c>
      <c r="E11" s="24"/>
      <c r="F11" s="24" t="s">
        <v>181</v>
      </c>
      <c r="G11" s="28">
        <v>40999</v>
      </c>
      <c r="H11" s="29" t="s">
        <v>241</v>
      </c>
      <c r="I11" s="29" t="s">
        <v>239</v>
      </c>
      <c r="J11" s="29"/>
      <c r="K11" s="24" t="s">
        <v>260</v>
      </c>
      <c r="L11" s="24" t="s">
        <v>261</v>
      </c>
      <c r="M11" s="24">
        <v>70.44</v>
      </c>
      <c r="N11" s="24">
        <v>30.69</v>
      </c>
      <c r="O11" s="24" t="s">
        <v>158</v>
      </c>
      <c r="P11" s="25">
        <v>2500</v>
      </c>
      <c r="Q11" s="24">
        <v>31.91</v>
      </c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 t="s">
        <v>140</v>
      </c>
      <c r="AR11" s="29" t="s">
        <v>239</v>
      </c>
      <c r="AS11" s="29"/>
      <c r="AT11" s="29"/>
      <c r="AU11" s="29" t="s">
        <v>159</v>
      </c>
      <c r="AV11" s="29">
        <v>6.8</v>
      </c>
      <c r="AW11" s="29" t="s">
        <v>235</v>
      </c>
      <c r="AX11" s="24"/>
      <c r="AY11" s="29">
        <v>0</v>
      </c>
      <c r="AZ11" s="29">
        <v>20</v>
      </c>
      <c r="BA11" s="29">
        <v>0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12</v>
      </c>
      <c r="BJ11" s="29" t="s">
        <v>241</v>
      </c>
      <c r="BK11" s="29"/>
      <c r="BL11" s="29" t="s">
        <v>239</v>
      </c>
      <c r="BM11" s="29"/>
      <c r="BN11" s="24"/>
      <c r="BO11" s="24"/>
      <c r="BP11" s="29"/>
      <c r="BQ11" s="29" t="s">
        <v>239</v>
      </c>
      <c r="BR11" s="30" t="s">
        <v>262</v>
      </c>
    </row>
    <row r="12" spans="1:70" x14ac:dyDescent="0.15">
      <c r="A12" s="24">
        <v>1216</v>
      </c>
      <c r="B12" s="26">
        <v>41012</v>
      </c>
      <c r="C12" s="27" t="s">
        <v>291</v>
      </c>
      <c r="D12" s="24" t="s">
        <v>292</v>
      </c>
      <c r="E12" s="24"/>
      <c r="F12" s="24" t="s">
        <v>181</v>
      </c>
      <c r="G12" s="28">
        <v>40940</v>
      </c>
      <c r="H12" s="29" t="s">
        <v>239</v>
      </c>
      <c r="I12" s="29" t="s">
        <v>282</v>
      </c>
      <c r="J12" s="29"/>
      <c r="K12" s="24" t="s">
        <v>178</v>
      </c>
      <c r="L12" s="24" t="s">
        <v>179</v>
      </c>
      <c r="M12" s="24">
        <v>66.3</v>
      </c>
      <c r="N12" s="24">
        <v>27.6</v>
      </c>
      <c r="O12" s="24" t="s">
        <v>158</v>
      </c>
      <c r="P12" s="25">
        <v>2500</v>
      </c>
      <c r="Q12" s="24">
        <v>28.3</v>
      </c>
      <c r="R12" s="25"/>
      <c r="S12" s="24"/>
      <c r="T12" s="25"/>
      <c r="U12" s="24"/>
      <c r="V12" s="24"/>
      <c r="W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 t="s">
        <v>140</v>
      </c>
      <c r="AR12" s="29" t="s">
        <v>239</v>
      </c>
      <c r="AS12" s="29"/>
      <c r="AT12" s="29"/>
      <c r="AU12" s="29"/>
      <c r="AV12" s="29"/>
      <c r="AW12" s="29" t="s">
        <v>239</v>
      </c>
      <c r="AX12" s="24"/>
      <c r="AY12" s="29">
        <v>0</v>
      </c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 t="s">
        <v>239</v>
      </c>
      <c r="BK12" s="29">
        <v>12</v>
      </c>
      <c r="BL12" s="29" t="s">
        <v>239</v>
      </c>
      <c r="BM12" s="29"/>
      <c r="BN12" s="24"/>
      <c r="BO12" s="24"/>
      <c r="BP12" s="29"/>
      <c r="BQ12" s="29" t="s">
        <v>239</v>
      </c>
      <c r="BR12" s="24" t="s">
        <v>180</v>
      </c>
    </row>
    <row r="13" spans="1:70" x14ac:dyDescent="0.15">
      <c r="A13" s="24">
        <v>1320</v>
      </c>
      <c r="B13" s="26">
        <v>41012</v>
      </c>
      <c r="C13" s="27" t="s">
        <v>291</v>
      </c>
      <c r="D13" s="24" t="s">
        <v>292</v>
      </c>
      <c r="E13" s="24"/>
      <c r="F13" s="24" t="s">
        <v>181</v>
      </c>
      <c r="G13" s="28">
        <v>40949</v>
      </c>
      <c r="H13" s="29" t="s">
        <v>239</v>
      </c>
      <c r="I13" s="29" t="s">
        <v>282</v>
      </c>
      <c r="J13" s="29"/>
      <c r="K13" s="24" t="s">
        <v>270</v>
      </c>
      <c r="L13" s="24" t="s">
        <v>248</v>
      </c>
      <c r="M13" s="24">
        <v>72.930000000000007</v>
      </c>
      <c r="N13" s="24">
        <v>28.7</v>
      </c>
      <c r="O13" s="24" t="s">
        <v>158</v>
      </c>
      <c r="P13" s="25">
        <v>2500</v>
      </c>
      <c r="Q13" s="24">
        <v>29.78</v>
      </c>
      <c r="R13" s="25"/>
      <c r="S13" s="24"/>
      <c r="T13" s="25"/>
      <c r="U13" s="24"/>
      <c r="V13" s="24"/>
      <c r="W13" s="24"/>
      <c r="X13" s="24"/>
      <c r="Y13" s="24"/>
      <c r="Z13" s="25"/>
      <c r="AA13" s="24"/>
      <c r="AB13" s="25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 t="s">
        <v>140</v>
      </c>
      <c r="AR13" s="29" t="s">
        <v>239</v>
      </c>
      <c r="AS13" s="29"/>
      <c r="AT13" s="29"/>
      <c r="AU13" s="29"/>
      <c r="AV13" s="29"/>
      <c r="AW13" s="29" t="s">
        <v>235</v>
      </c>
      <c r="AX13" s="24"/>
      <c r="AY13" s="29">
        <v>0</v>
      </c>
      <c r="AZ13" s="29">
        <v>0</v>
      </c>
      <c r="BA13" s="29">
        <v>0</v>
      </c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 t="s">
        <v>239</v>
      </c>
      <c r="BK13" s="29">
        <v>24</v>
      </c>
      <c r="BL13" s="29" t="s">
        <v>239</v>
      </c>
      <c r="BM13" s="29"/>
      <c r="BN13" s="30"/>
      <c r="BO13" s="30"/>
      <c r="BP13" s="29"/>
      <c r="BQ13" s="29" t="s">
        <v>239</v>
      </c>
      <c r="BR13" s="24" t="s">
        <v>203</v>
      </c>
    </row>
    <row r="14" spans="1:70" x14ac:dyDescent="0.15">
      <c r="A14" s="24">
        <v>1476</v>
      </c>
      <c r="B14" s="26">
        <v>41013</v>
      </c>
      <c r="C14" s="27" t="s">
        <v>291</v>
      </c>
      <c r="D14" s="24" t="s">
        <v>292</v>
      </c>
      <c r="E14" s="24"/>
      <c r="F14" s="24" t="s">
        <v>181</v>
      </c>
      <c r="G14" s="31">
        <v>40939</v>
      </c>
      <c r="H14" s="29" t="s">
        <v>239</v>
      </c>
      <c r="I14" s="29" t="s">
        <v>282</v>
      </c>
      <c r="J14" s="29"/>
      <c r="K14" s="24" t="s">
        <v>204</v>
      </c>
      <c r="L14" s="24" t="s">
        <v>205</v>
      </c>
      <c r="M14" s="24">
        <v>81.7</v>
      </c>
      <c r="N14" s="24">
        <v>29.2</v>
      </c>
      <c r="O14" s="24" t="s">
        <v>158</v>
      </c>
      <c r="P14" s="25">
        <v>2500</v>
      </c>
      <c r="Q14" s="24">
        <v>30.2</v>
      </c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5"/>
      <c r="AH14" s="24"/>
      <c r="AI14" s="24"/>
      <c r="AJ14" s="24"/>
      <c r="AK14" s="24"/>
      <c r="AL14" s="24"/>
      <c r="AM14" s="24"/>
      <c r="AN14" s="24"/>
      <c r="AO14" s="24"/>
      <c r="AP14" s="24"/>
      <c r="AQ14" s="24" t="s">
        <v>140</v>
      </c>
      <c r="AR14" s="29" t="s">
        <v>239</v>
      </c>
      <c r="AS14" s="29"/>
      <c r="AT14" s="29"/>
      <c r="AU14" s="29"/>
      <c r="AV14" s="29"/>
      <c r="AW14" s="29" t="s">
        <v>235</v>
      </c>
      <c r="AX14" s="24"/>
      <c r="AY14" s="29">
        <v>0</v>
      </c>
      <c r="AZ14" s="29">
        <v>0</v>
      </c>
      <c r="BA14" s="29">
        <v>10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24</v>
      </c>
      <c r="BJ14" s="29" t="s">
        <v>241</v>
      </c>
      <c r="BK14" s="29"/>
      <c r="BL14" s="29" t="s">
        <v>239</v>
      </c>
      <c r="BM14" s="29"/>
      <c r="BN14" s="24"/>
      <c r="BO14" s="24"/>
      <c r="BP14" s="29"/>
      <c r="BQ14" s="29" t="s">
        <v>239</v>
      </c>
      <c r="BR14" s="24"/>
    </row>
    <row r="15" spans="1:70" x14ac:dyDescent="0.15">
      <c r="A15" s="24">
        <v>1555</v>
      </c>
      <c r="B15" s="26">
        <v>41013</v>
      </c>
      <c r="C15" s="27" t="s">
        <v>291</v>
      </c>
      <c r="D15" s="24" t="s">
        <v>292</v>
      </c>
      <c r="E15" s="24"/>
      <c r="F15" s="24" t="s">
        <v>181</v>
      </c>
      <c r="G15" s="28">
        <v>40847</v>
      </c>
      <c r="H15" s="29" t="s">
        <v>241</v>
      </c>
      <c r="I15" s="29" t="s">
        <v>239</v>
      </c>
      <c r="J15" s="29"/>
      <c r="K15" s="24" t="s">
        <v>254</v>
      </c>
      <c r="L15" s="24" t="s">
        <v>255</v>
      </c>
      <c r="M15" s="24">
        <v>76.66</v>
      </c>
      <c r="N15" s="24">
        <v>33.130000000000003</v>
      </c>
      <c r="O15" s="24" t="s">
        <v>158</v>
      </c>
      <c r="P15" s="25">
        <v>2500</v>
      </c>
      <c r="Q15" s="24">
        <v>34.47</v>
      </c>
      <c r="R15" s="25"/>
      <c r="S15" s="24"/>
      <c r="T15" s="25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 t="s">
        <v>140</v>
      </c>
      <c r="AR15" s="29" t="s">
        <v>239</v>
      </c>
      <c r="AS15" s="29"/>
      <c r="AT15" s="29"/>
      <c r="AU15" s="29" t="s">
        <v>159</v>
      </c>
      <c r="AV15" s="29">
        <v>6.2</v>
      </c>
      <c r="AW15" s="29" t="s">
        <v>239</v>
      </c>
      <c r="AX15" s="24"/>
      <c r="AY15" s="29">
        <v>0</v>
      </c>
      <c r="AZ15" s="29">
        <v>0</v>
      </c>
      <c r="BA15" s="29">
        <v>0</v>
      </c>
      <c r="BB15" s="29">
        <v>19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24</v>
      </c>
      <c r="BJ15" s="29" t="s">
        <v>241</v>
      </c>
      <c r="BK15" s="29"/>
      <c r="BL15" s="29" t="s">
        <v>239</v>
      </c>
      <c r="BM15" s="29"/>
      <c r="BN15" s="24"/>
      <c r="BO15" s="24"/>
      <c r="BP15" s="29"/>
      <c r="BQ15" s="29" t="s">
        <v>239</v>
      </c>
      <c r="BR15" s="24"/>
    </row>
    <row r="16" spans="1:70" x14ac:dyDescent="0.15">
      <c r="A16" s="24">
        <v>1633</v>
      </c>
      <c r="B16" s="26">
        <v>41013</v>
      </c>
      <c r="C16" s="27" t="s">
        <v>291</v>
      </c>
      <c r="D16" s="24" t="s">
        <v>292</v>
      </c>
      <c r="E16" s="24"/>
      <c r="F16" s="24" t="s">
        <v>181</v>
      </c>
      <c r="G16" s="28">
        <v>40918</v>
      </c>
      <c r="H16" s="29" t="s">
        <v>241</v>
      </c>
      <c r="I16" s="29" t="s">
        <v>239</v>
      </c>
      <c r="J16" s="29"/>
      <c r="K16" s="24" t="s">
        <v>90</v>
      </c>
      <c r="L16" s="24" t="s">
        <v>219</v>
      </c>
      <c r="M16" s="24">
        <v>70</v>
      </c>
      <c r="N16" s="24">
        <v>29.5</v>
      </c>
      <c r="O16" s="24" t="s">
        <v>158</v>
      </c>
      <c r="P16" s="24">
        <v>2500</v>
      </c>
      <c r="Q16" s="24">
        <v>33.5</v>
      </c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 t="s">
        <v>140</v>
      </c>
      <c r="AR16" s="29" t="s">
        <v>239</v>
      </c>
      <c r="AS16" s="29"/>
      <c r="AT16" s="29"/>
      <c r="AU16" s="29" t="s">
        <v>159</v>
      </c>
      <c r="AV16" s="29">
        <v>10</v>
      </c>
      <c r="AW16" s="29" t="s">
        <v>239</v>
      </c>
      <c r="AX16" s="24"/>
      <c r="AY16" s="29">
        <v>0</v>
      </c>
      <c r="AZ16" s="29">
        <v>0</v>
      </c>
      <c r="BA16" s="29">
        <v>0</v>
      </c>
      <c r="BB16" s="29">
        <v>10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36</v>
      </c>
      <c r="BJ16" s="29" t="s">
        <v>241</v>
      </c>
      <c r="BK16" s="29"/>
      <c r="BL16" s="29" t="s">
        <v>239</v>
      </c>
      <c r="BM16" s="29"/>
      <c r="BN16" s="30"/>
      <c r="BO16" s="30"/>
      <c r="BP16" s="29"/>
      <c r="BQ16" s="29" t="s">
        <v>239</v>
      </c>
      <c r="BR16" s="24"/>
    </row>
    <row r="17" spans="1:70" x14ac:dyDescent="0.15">
      <c r="A17" s="24">
        <v>89</v>
      </c>
      <c r="B17" s="26">
        <v>41012</v>
      </c>
      <c r="C17" s="27" t="s">
        <v>191</v>
      </c>
      <c r="D17" s="24" t="s">
        <v>192</v>
      </c>
      <c r="E17" s="24"/>
      <c r="F17" s="24" t="s">
        <v>193</v>
      </c>
      <c r="G17" s="28">
        <v>40925</v>
      </c>
      <c r="H17" s="29" t="s">
        <v>239</v>
      </c>
      <c r="I17" s="29" t="s">
        <v>282</v>
      </c>
      <c r="J17" s="29"/>
      <c r="K17" s="24" t="s">
        <v>283</v>
      </c>
      <c r="L17" s="24" t="s">
        <v>284</v>
      </c>
      <c r="M17" s="24">
        <v>68.069999999999993</v>
      </c>
      <c r="N17" s="24">
        <v>31.337499999999999</v>
      </c>
      <c r="O17" s="24" t="s">
        <v>240</v>
      </c>
      <c r="P17" s="25">
        <v>2500</v>
      </c>
      <c r="Q17" s="24">
        <v>32.6</v>
      </c>
      <c r="R17" s="25"/>
      <c r="S17" s="24"/>
      <c r="T17" s="25"/>
      <c r="U17" s="24"/>
      <c r="V17" s="24"/>
      <c r="W17" s="24"/>
      <c r="X17" s="25"/>
      <c r="Y17" s="24"/>
      <c r="Z17" s="25"/>
      <c r="AA17" s="24"/>
      <c r="AB17" s="25"/>
      <c r="AC17" s="24"/>
      <c r="AD17" s="24"/>
      <c r="AE17" s="24"/>
      <c r="AF17" s="24">
        <v>13.31</v>
      </c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 t="s">
        <v>149</v>
      </c>
      <c r="AR17" s="29" t="s">
        <v>150</v>
      </c>
      <c r="AS17" s="29" t="s">
        <v>151</v>
      </c>
      <c r="AT17" s="29">
        <v>3</v>
      </c>
      <c r="AU17" s="29"/>
      <c r="AV17" s="29"/>
      <c r="AW17" s="29" t="s">
        <v>152</v>
      </c>
      <c r="AX17" s="24"/>
      <c r="AY17" s="29">
        <v>0</v>
      </c>
      <c r="AZ17" s="29">
        <v>15</v>
      </c>
      <c r="BA17" s="29">
        <v>0</v>
      </c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 t="s">
        <v>153</v>
      </c>
      <c r="BK17" s="29">
        <v>24</v>
      </c>
      <c r="BL17" s="29" t="s">
        <v>153</v>
      </c>
      <c r="BM17" s="29"/>
      <c r="BN17" s="30" t="s">
        <v>154</v>
      </c>
      <c r="BO17" s="30" t="s">
        <v>195</v>
      </c>
      <c r="BP17" s="29">
        <v>25</v>
      </c>
      <c r="BQ17" s="29" t="s">
        <v>153</v>
      </c>
      <c r="BR17" s="24" t="s">
        <v>155</v>
      </c>
    </row>
    <row r="18" spans="1:70" x14ac:dyDescent="0.15">
      <c r="A18" s="24">
        <v>157</v>
      </c>
      <c r="B18" s="26">
        <v>41013</v>
      </c>
      <c r="C18" s="27" t="s">
        <v>291</v>
      </c>
      <c r="D18" s="24" t="s">
        <v>292</v>
      </c>
      <c r="E18" s="24"/>
      <c r="F18" s="24" t="s">
        <v>293</v>
      </c>
      <c r="G18" s="28">
        <v>40771</v>
      </c>
      <c r="H18" s="29" t="s">
        <v>153</v>
      </c>
      <c r="I18" s="29" t="s">
        <v>282</v>
      </c>
      <c r="J18" s="29"/>
      <c r="K18" s="24" t="s">
        <v>160</v>
      </c>
      <c r="L18" s="24" t="s">
        <v>161</v>
      </c>
      <c r="M18" s="24">
        <v>68</v>
      </c>
      <c r="N18" s="24">
        <v>30.69</v>
      </c>
      <c r="O18" s="24" t="s">
        <v>158</v>
      </c>
      <c r="P18" s="25">
        <v>2500</v>
      </c>
      <c r="Q18" s="24">
        <v>31.08</v>
      </c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>
        <v>14.35</v>
      </c>
      <c r="AG18" s="25">
        <v>2000</v>
      </c>
      <c r="AH18" s="24">
        <v>15.31</v>
      </c>
      <c r="AI18" s="24"/>
      <c r="AJ18" s="24"/>
      <c r="AK18" s="24"/>
      <c r="AL18" s="24"/>
      <c r="AM18" s="24"/>
      <c r="AN18" s="24"/>
      <c r="AO18" s="24"/>
      <c r="AP18" s="24"/>
      <c r="AQ18" s="24" t="s">
        <v>162</v>
      </c>
      <c r="AR18" s="29" t="s">
        <v>153</v>
      </c>
      <c r="AS18" s="29"/>
      <c r="AT18" s="29"/>
      <c r="AU18" s="29"/>
      <c r="AV18" s="29"/>
      <c r="AW18" s="29" t="s">
        <v>153</v>
      </c>
      <c r="AX18" s="24"/>
      <c r="AY18" s="29">
        <v>0</v>
      </c>
      <c r="AZ18" s="29">
        <v>0</v>
      </c>
      <c r="BA18" s="29">
        <v>0</v>
      </c>
      <c r="BB18" s="29">
        <v>25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 t="s">
        <v>153</v>
      </c>
      <c r="BK18" s="29"/>
      <c r="BL18" s="29" t="s">
        <v>153</v>
      </c>
      <c r="BM18" s="29"/>
      <c r="BN18" s="24"/>
      <c r="BO18" s="24"/>
      <c r="BP18" s="29"/>
      <c r="BQ18" s="29" t="s">
        <v>153</v>
      </c>
      <c r="BR18" s="24"/>
    </row>
    <row r="19" spans="1:70" x14ac:dyDescent="0.15">
      <c r="A19" s="24">
        <v>201</v>
      </c>
      <c r="B19" s="26">
        <v>41012</v>
      </c>
      <c r="C19" s="27" t="s">
        <v>231</v>
      </c>
      <c r="D19" s="24" t="s">
        <v>232</v>
      </c>
      <c r="E19" s="24"/>
      <c r="F19" s="24" t="s">
        <v>238</v>
      </c>
      <c r="G19" s="28">
        <v>40877</v>
      </c>
      <c r="H19" s="29" t="s">
        <v>153</v>
      </c>
      <c r="I19" s="29" t="s">
        <v>282</v>
      </c>
      <c r="J19" s="29"/>
      <c r="K19" s="24" t="s">
        <v>211</v>
      </c>
      <c r="L19" s="24" t="s">
        <v>212</v>
      </c>
      <c r="M19" s="24">
        <v>88</v>
      </c>
      <c r="N19" s="24">
        <v>31</v>
      </c>
      <c r="O19" s="24" t="s">
        <v>158</v>
      </c>
      <c r="P19" s="24">
        <v>2500</v>
      </c>
      <c r="Q19" s="24">
        <v>32.9</v>
      </c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20.2</v>
      </c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 t="s">
        <v>162</v>
      </c>
      <c r="AR19" s="29" t="s">
        <v>153</v>
      </c>
      <c r="AS19" s="29"/>
      <c r="AT19" s="29"/>
      <c r="AU19" s="29"/>
      <c r="AV19" s="29"/>
      <c r="AW19" s="29" t="s">
        <v>153</v>
      </c>
      <c r="AX19" s="24"/>
      <c r="AY19" s="29">
        <v>0</v>
      </c>
      <c r="AZ19" s="29">
        <v>0</v>
      </c>
      <c r="BA19" s="29">
        <v>7</v>
      </c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 t="s">
        <v>153</v>
      </c>
      <c r="BK19" s="29"/>
      <c r="BL19" s="29" t="s">
        <v>153</v>
      </c>
      <c r="BM19" s="29"/>
      <c r="BN19" s="30"/>
      <c r="BO19" s="30"/>
      <c r="BP19" s="29"/>
      <c r="BQ19" s="29" t="s">
        <v>153</v>
      </c>
      <c r="BR19" s="24" t="s">
        <v>213</v>
      </c>
    </row>
    <row r="20" spans="1:70" x14ac:dyDescent="0.15">
      <c r="A20" s="24">
        <v>241</v>
      </c>
      <c r="B20" s="26">
        <v>41012</v>
      </c>
      <c r="C20" s="27" t="s">
        <v>291</v>
      </c>
      <c r="D20" s="24" t="s">
        <v>292</v>
      </c>
      <c r="E20" s="24"/>
      <c r="F20" s="24" t="s">
        <v>293</v>
      </c>
      <c r="G20" s="28">
        <v>40939</v>
      </c>
      <c r="H20" s="29" t="s">
        <v>150</v>
      </c>
      <c r="I20" s="29" t="s">
        <v>153</v>
      </c>
      <c r="J20" s="29"/>
      <c r="K20" s="24" t="s">
        <v>218</v>
      </c>
      <c r="L20" s="24" t="s">
        <v>219</v>
      </c>
      <c r="M20" s="24">
        <v>70.25</v>
      </c>
      <c r="N20" s="24">
        <v>30.6</v>
      </c>
      <c r="O20" s="24" t="s">
        <v>158</v>
      </c>
      <c r="P20" s="25">
        <v>2500</v>
      </c>
      <c r="Q20" s="24">
        <v>32.1</v>
      </c>
      <c r="R20" s="25"/>
      <c r="S20" s="24"/>
      <c r="T20" s="25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13.1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 t="s">
        <v>162</v>
      </c>
      <c r="AR20" s="29" t="s">
        <v>153</v>
      </c>
      <c r="AS20" s="29"/>
      <c r="AT20" s="29"/>
      <c r="AU20" s="29" t="s">
        <v>159</v>
      </c>
      <c r="AV20" s="29">
        <v>7</v>
      </c>
      <c r="AW20" s="29" t="s">
        <v>153</v>
      </c>
      <c r="AX20" s="24"/>
      <c r="AY20" s="29">
        <v>0</v>
      </c>
      <c r="AZ20" s="29">
        <v>0</v>
      </c>
      <c r="BA20" s="29">
        <v>0</v>
      </c>
      <c r="BB20" s="29">
        <v>20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 t="s">
        <v>153</v>
      </c>
      <c r="BK20" s="29"/>
      <c r="BL20" s="29" t="s">
        <v>153</v>
      </c>
      <c r="BM20" s="29"/>
      <c r="BN20" s="30" t="s">
        <v>220</v>
      </c>
      <c r="BO20" s="24"/>
      <c r="BP20" s="29"/>
      <c r="BQ20" s="29" t="s">
        <v>153</v>
      </c>
      <c r="BR20" s="24"/>
    </row>
    <row r="21" spans="1:70" x14ac:dyDescent="0.15">
      <c r="A21" s="24">
        <v>395</v>
      </c>
      <c r="B21" s="26">
        <v>41012</v>
      </c>
      <c r="C21" s="27" t="s">
        <v>291</v>
      </c>
      <c r="D21" s="24" t="s">
        <v>292</v>
      </c>
      <c r="E21" s="24"/>
      <c r="F21" s="24" t="s">
        <v>293</v>
      </c>
      <c r="G21" s="28">
        <v>40755</v>
      </c>
      <c r="H21" s="29" t="s">
        <v>150</v>
      </c>
      <c r="I21" s="29" t="s">
        <v>153</v>
      </c>
      <c r="J21" s="29"/>
      <c r="K21" s="24" t="s">
        <v>271</v>
      </c>
      <c r="L21" s="24" t="s">
        <v>142</v>
      </c>
      <c r="M21" s="24">
        <v>74.8</v>
      </c>
      <c r="N21" s="24">
        <v>26.95</v>
      </c>
      <c r="O21" s="24" t="s">
        <v>158</v>
      </c>
      <c r="P21" s="25">
        <v>2500</v>
      </c>
      <c r="Q21" s="24">
        <v>29.15</v>
      </c>
      <c r="R21" s="25">
        <v>10000</v>
      </c>
      <c r="S21" s="24">
        <v>29.75</v>
      </c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12.75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 t="s">
        <v>162</v>
      </c>
      <c r="AR21" s="29" t="s">
        <v>153</v>
      </c>
      <c r="AS21" s="29"/>
      <c r="AT21" s="29"/>
      <c r="AU21" s="29" t="s">
        <v>159</v>
      </c>
      <c r="AV21" s="29">
        <v>8</v>
      </c>
      <c r="AW21" s="29" t="s">
        <v>153</v>
      </c>
      <c r="AX21" s="24"/>
      <c r="AY21" s="29">
        <v>0</v>
      </c>
      <c r="AZ21" s="29">
        <v>0</v>
      </c>
      <c r="BA21" s="29">
        <v>3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24</v>
      </c>
      <c r="BJ21" s="29" t="s">
        <v>150</v>
      </c>
      <c r="BK21" s="29"/>
      <c r="BL21" s="29" t="s">
        <v>153</v>
      </c>
      <c r="BM21" s="29"/>
      <c r="BN21" s="24"/>
      <c r="BO21" s="24"/>
      <c r="BP21" s="29"/>
      <c r="BQ21" s="29" t="s">
        <v>153</v>
      </c>
      <c r="BR21" s="24" t="s">
        <v>183</v>
      </c>
    </row>
    <row r="22" spans="1:70" x14ac:dyDescent="0.15">
      <c r="A22" s="24">
        <v>573</v>
      </c>
      <c r="B22" s="26">
        <v>41012</v>
      </c>
      <c r="C22" s="27" t="s">
        <v>291</v>
      </c>
      <c r="D22" s="24" t="s">
        <v>292</v>
      </c>
      <c r="E22" s="24"/>
      <c r="F22" s="24" t="s">
        <v>293</v>
      </c>
      <c r="G22" s="28">
        <v>40939</v>
      </c>
      <c r="H22" s="29" t="s">
        <v>150</v>
      </c>
      <c r="I22" s="29" t="s">
        <v>153</v>
      </c>
      <c r="J22" s="29"/>
      <c r="K22" s="24" t="s">
        <v>143</v>
      </c>
      <c r="L22" s="24" t="s">
        <v>144</v>
      </c>
      <c r="M22" s="24">
        <v>75.599999999999994</v>
      </c>
      <c r="N22" s="24">
        <v>32.200000000000003</v>
      </c>
      <c r="O22" s="24" t="s">
        <v>158</v>
      </c>
      <c r="P22" s="25">
        <v>2500</v>
      </c>
      <c r="Q22" s="24">
        <v>34.65</v>
      </c>
      <c r="R22" s="25">
        <v>25000</v>
      </c>
      <c r="S22" s="24">
        <v>34.96</v>
      </c>
      <c r="T22" s="25"/>
      <c r="U22" s="24"/>
      <c r="V22" s="24"/>
      <c r="W22" s="24"/>
      <c r="X22" s="25"/>
      <c r="Y22" s="24"/>
      <c r="Z22" s="25"/>
      <c r="AA22" s="24"/>
      <c r="AB22" s="25"/>
      <c r="AC22" s="24"/>
      <c r="AD22" s="24"/>
      <c r="AE22" s="24"/>
      <c r="AF22" s="24">
        <v>13.97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 t="s">
        <v>162</v>
      </c>
      <c r="AR22" s="29" t="s">
        <v>153</v>
      </c>
      <c r="AS22" s="29"/>
      <c r="AT22" s="29"/>
      <c r="AU22" s="29" t="s">
        <v>159</v>
      </c>
      <c r="AV22" s="29">
        <v>6.8</v>
      </c>
      <c r="AW22" s="29" t="s">
        <v>152</v>
      </c>
      <c r="AX22" s="24"/>
      <c r="AY22" s="29">
        <v>0</v>
      </c>
      <c r="AZ22" s="29">
        <v>21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24</v>
      </c>
      <c r="BJ22" s="29" t="s">
        <v>150</v>
      </c>
      <c r="BK22" s="29"/>
      <c r="BL22" s="29" t="s">
        <v>153</v>
      </c>
      <c r="BM22" s="29"/>
      <c r="BN22" s="24"/>
      <c r="BO22" s="24"/>
      <c r="BP22" s="29"/>
      <c r="BQ22" s="29" t="s">
        <v>153</v>
      </c>
      <c r="BR22" s="24"/>
    </row>
    <row r="23" spans="1:70" x14ac:dyDescent="0.15">
      <c r="A23" s="24">
        <v>702</v>
      </c>
      <c r="B23" s="26">
        <v>41012</v>
      </c>
      <c r="C23" s="27" t="s">
        <v>291</v>
      </c>
      <c r="D23" s="24" t="s">
        <v>292</v>
      </c>
      <c r="E23" s="24"/>
      <c r="F23" s="24" t="s">
        <v>293</v>
      </c>
      <c r="G23" s="28">
        <v>40999</v>
      </c>
      <c r="H23" s="29" t="s">
        <v>150</v>
      </c>
      <c r="I23" s="29" t="s">
        <v>153</v>
      </c>
      <c r="J23" s="29"/>
      <c r="K23" s="24" t="s">
        <v>147</v>
      </c>
      <c r="L23" s="24" t="s">
        <v>148</v>
      </c>
      <c r="M23" s="24">
        <v>99</v>
      </c>
      <c r="N23" s="24">
        <v>30.37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>
        <v>17.97</v>
      </c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 t="s">
        <v>162</v>
      </c>
      <c r="AR23" s="29" t="s">
        <v>153</v>
      </c>
      <c r="AS23" s="29"/>
      <c r="AT23" s="29"/>
      <c r="AU23" s="29" t="s">
        <v>159</v>
      </c>
      <c r="AV23" s="29">
        <v>6.8</v>
      </c>
      <c r="AW23" s="29" t="s">
        <v>153</v>
      </c>
      <c r="AX23" s="24"/>
      <c r="AY23" s="29">
        <v>0</v>
      </c>
      <c r="AZ23" s="29">
        <v>0</v>
      </c>
      <c r="BA23" s="29">
        <v>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 t="s">
        <v>153</v>
      </c>
      <c r="BK23" s="29"/>
      <c r="BL23" s="29" t="s">
        <v>153</v>
      </c>
      <c r="BM23" s="29"/>
      <c r="BN23" s="30"/>
      <c r="BO23" s="30"/>
      <c r="BP23" s="29"/>
      <c r="BQ23" s="29" t="s">
        <v>153</v>
      </c>
      <c r="BR23" s="24"/>
    </row>
    <row r="24" spans="1:70" x14ac:dyDescent="0.15">
      <c r="A24" s="24">
        <v>921</v>
      </c>
      <c r="B24" s="26">
        <v>41012</v>
      </c>
      <c r="C24" s="27" t="s">
        <v>231</v>
      </c>
      <c r="D24" s="24" t="s">
        <v>232</v>
      </c>
      <c r="E24" s="24"/>
      <c r="F24" s="24" t="s">
        <v>238</v>
      </c>
      <c r="G24" s="28">
        <v>40982</v>
      </c>
      <c r="H24" s="29" t="s">
        <v>241</v>
      </c>
      <c r="I24" s="29" t="s">
        <v>239</v>
      </c>
      <c r="J24" s="29"/>
      <c r="K24" s="24" t="s">
        <v>190</v>
      </c>
      <c r="L24" s="24" t="s">
        <v>86</v>
      </c>
      <c r="M24" s="24">
        <v>82.6</v>
      </c>
      <c r="N24" s="24">
        <v>31.69</v>
      </c>
      <c r="O24" s="24" t="s">
        <v>158</v>
      </c>
      <c r="P24" s="25">
        <v>1200</v>
      </c>
      <c r="Q24" s="24">
        <v>29.42</v>
      </c>
      <c r="R24" s="25"/>
      <c r="S24" s="24"/>
      <c r="T24" s="25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19.079999999999998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 t="s">
        <v>162</v>
      </c>
      <c r="AR24" s="29" t="s">
        <v>239</v>
      </c>
      <c r="AS24" s="29"/>
      <c r="AT24" s="29"/>
      <c r="AU24" s="29" t="s">
        <v>159</v>
      </c>
      <c r="AV24" s="29">
        <v>6.8</v>
      </c>
      <c r="AW24" s="29" t="s">
        <v>239</v>
      </c>
      <c r="AX24" s="24"/>
      <c r="AY24" s="29">
        <v>0</v>
      </c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12</v>
      </c>
      <c r="BJ24" s="29" t="s">
        <v>241</v>
      </c>
      <c r="BK24" s="29"/>
      <c r="BL24" s="29" t="s">
        <v>239</v>
      </c>
      <c r="BM24" s="29"/>
      <c r="BN24" s="24"/>
      <c r="BO24" s="24"/>
      <c r="BP24" s="29"/>
      <c r="BQ24" s="29" t="s">
        <v>239</v>
      </c>
      <c r="BR24" s="24" t="s">
        <v>87</v>
      </c>
    </row>
    <row r="25" spans="1:70" x14ac:dyDescent="0.15">
      <c r="A25" s="24">
        <v>1149</v>
      </c>
      <c r="B25" s="26">
        <v>41013</v>
      </c>
      <c r="C25" s="27" t="s">
        <v>291</v>
      </c>
      <c r="D25" s="24" t="s">
        <v>292</v>
      </c>
      <c r="E25" s="24"/>
      <c r="F25" s="24" t="s">
        <v>293</v>
      </c>
      <c r="G25" s="28">
        <v>40999</v>
      </c>
      <c r="H25" s="29" t="s">
        <v>241</v>
      </c>
      <c r="I25" s="29" t="s">
        <v>239</v>
      </c>
      <c r="J25" s="29"/>
      <c r="K25" s="24" t="s">
        <v>260</v>
      </c>
      <c r="L25" s="24" t="s">
        <v>261</v>
      </c>
      <c r="M25" s="24">
        <v>70.44</v>
      </c>
      <c r="N25" s="24">
        <v>30.69</v>
      </c>
      <c r="O25" s="24" t="s">
        <v>158</v>
      </c>
      <c r="P25" s="25">
        <v>2500</v>
      </c>
      <c r="Q25" s="24">
        <v>31.91</v>
      </c>
      <c r="R25" s="25"/>
      <c r="S25" s="24"/>
      <c r="T25" s="25"/>
      <c r="U25" s="24"/>
      <c r="V25" s="24"/>
      <c r="W25" s="24"/>
      <c r="X25" s="24"/>
      <c r="Y25" s="24"/>
      <c r="Z25" s="25"/>
      <c r="AA25" s="24"/>
      <c r="AB25" s="25"/>
      <c r="AC25" s="24"/>
      <c r="AD25" s="24"/>
      <c r="AE25" s="24"/>
      <c r="AF25" s="24">
        <v>14.23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 t="s">
        <v>162</v>
      </c>
      <c r="AR25" s="29" t="s">
        <v>239</v>
      </c>
      <c r="AS25" s="29"/>
      <c r="AT25" s="29"/>
      <c r="AU25" s="29" t="s">
        <v>159</v>
      </c>
      <c r="AV25" s="29">
        <v>6.8</v>
      </c>
      <c r="AW25" s="29" t="s">
        <v>235</v>
      </c>
      <c r="AX25" s="24"/>
      <c r="AY25" s="29">
        <v>0</v>
      </c>
      <c r="AZ25" s="29">
        <v>20</v>
      </c>
      <c r="BA25" s="29">
        <v>0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12</v>
      </c>
      <c r="BJ25" s="29" t="s">
        <v>241</v>
      </c>
      <c r="BK25" s="29"/>
      <c r="BL25" s="29" t="s">
        <v>239</v>
      </c>
      <c r="BM25" s="29"/>
      <c r="BN25" s="24"/>
      <c r="BO25" s="24"/>
      <c r="BP25" s="29"/>
      <c r="BQ25" s="29" t="s">
        <v>239</v>
      </c>
      <c r="BR25" s="30" t="s">
        <v>262</v>
      </c>
    </row>
    <row r="26" spans="1:70" x14ac:dyDescent="0.15">
      <c r="A26" s="24">
        <v>1215</v>
      </c>
      <c r="B26" s="26">
        <v>41012</v>
      </c>
      <c r="C26" s="27" t="s">
        <v>291</v>
      </c>
      <c r="D26" s="24" t="s">
        <v>292</v>
      </c>
      <c r="E26" s="24"/>
      <c r="F26" s="24" t="s">
        <v>293</v>
      </c>
      <c r="G26" s="28">
        <v>40940</v>
      </c>
      <c r="H26" s="29" t="s">
        <v>239</v>
      </c>
      <c r="I26" s="29" t="s">
        <v>282</v>
      </c>
      <c r="J26" s="29"/>
      <c r="K26" s="24" t="s">
        <v>178</v>
      </c>
      <c r="L26" s="24" t="s">
        <v>179</v>
      </c>
      <c r="M26" s="24">
        <v>66.3</v>
      </c>
      <c r="N26" s="24">
        <v>26.1</v>
      </c>
      <c r="O26" s="24" t="s">
        <v>158</v>
      </c>
      <c r="P26" s="25">
        <v>2500</v>
      </c>
      <c r="Q26" s="24">
        <v>28.2</v>
      </c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10.5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162</v>
      </c>
      <c r="AR26" s="29" t="s">
        <v>239</v>
      </c>
      <c r="AS26" s="29"/>
      <c r="AT26" s="29"/>
      <c r="AU26" s="29"/>
      <c r="AV26" s="29"/>
      <c r="AW26" s="29" t="s">
        <v>239</v>
      </c>
      <c r="AX26" s="24"/>
      <c r="AY26" s="29">
        <v>0</v>
      </c>
      <c r="AZ26" s="29">
        <v>0</v>
      </c>
      <c r="BA26" s="29">
        <v>0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 t="s">
        <v>239</v>
      </c>
      <c r="BK26" s="29">
        <v>12</v>
      </c>
      <c r="BL26" s="29" t="s">
        <v>239</v>
      </c>
      <c r="BM26" s="29"/>
      <c r="BN26" s="24"/>
      <c r="BO26" s="24"/>
      <c r="BP26" s="29"/>
      <c r="BQ26" s="29" t="s">
        <v>239</v>
      </c>
      <c r="BR26" s="24" t="s">
        <v>180</v>
      </c>
    </row>
    <row r="27" spans="1:70" x14ac:dyDescent="0.15">
      <c r="A27" s="24">
        <v>1319</v>
      </c>
      <c r="B27" s="26">
        <v>41012</v>
      </c>
      <c r="C27" s="27" t="s">
        <v>291</v>
      </c>
      <c r="D27" s="24" t="s">
        <v>292</v>
      </c>
      <c r="E27" s="24"/>
      <c r="F27" s="24" t="s">
        <v>293</v>
      </c>
      <c r="G27" s="28">
        <v>40949</v>
      </c>
      <c r="H27" s="29" t="s">
        <v>239</v>
      </c>
      <c r="I27" s="29" t="s">
        <v>282</v>
      </c>
      <c r="J27" s="29"/>
      <c r="K27" s="24" t="s">
        <v>270</v>
      </c>
      <c r="L27" s="24" t="s">
        <v>248</v>
      </c>
      <c r="M27" s="24">
        <v>72.930000000000007</v>
      </c>
      <c r="N27" s="24">
        <v>28.7</v>
      </c>
      <c r="O27" s="24" t="s">
        <v>158</v>
      </c>
      <c r="P27" s="25">
        <v>2500</v>
      </c>
      <c r="Q27" s="24">
        <v>29.78</v>
      </c>
      <c r="R27" s="25"/>
      <c r="S27" s="24"/>
      <c r="T27" s="25"/>
      <c r="U27" s="24"/>
      <c r="V27" s="24"/>
      <c r="W27" s="24"/>
      <c r="X27" s="24"/>
      <c r="Y27" s="24"/>
      <c r="Z27" s="25"/>
      <c r="AA27" s="24"/>
      <c r="AB27" s="25"/>
      <c r="AC27" s="24"/>
      <c r="AD27" s="24"/>
      <c r="AE27" s="24"/>
      <c r="AF27" s="24">
        <v>14.31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 t="s">
        <v>162</v>
      </c>
      <c r="AR27" s="29" t="s">
        <v>239</v>
      </c>
      <c r="AS27" s="29"/>
      <c r="AT27" s="29"/>
      <c r="AU27" s="29"/>
      <c r="AV27" s="29"/>
      <c r="AW27" s="29" t="s">
        <v>235</v>
      </c>
      <c r="AX27" s="24"/>
      <c r="AY27" s="29">
        <v>0</v>
      </c>
      <c r="AZ27" s="29">
        <v>0</v>
      </c>
      <c r="BA27" s="29">
        <v>0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 t="s">
        <v>239</v>
      </c>
      <c r="BK27" s="29">
        <v>24</v>
      </c>
      <c r="BL27" s="29" t="s">
        <v>239</v>
      </c>
      <c r="BM27" s="29"/>
      <c r="BN27" s="30"/>
      <c r="BO27" s="30"/>
      <c r="BP27" s="29"/>
      <c r="BQ27" s="29" t="s">
        <v>239</v>
      </c>
      <c r="BR27" s="24" t="s">
        <v>203</v>
      </c>
    </row>
    <row r="28" spans="1:70" x14ac:dyDescent="0.15">
      <c r="A28" s="24">
        <v>1475</v>
      </c>
      <c r="B28" s="26">
        <v>41013</v>
      </c>
      <c r="C28" s="27" t="s">
        <v>291</v>
      </c>
      <c r="D28" s="24" t="s">
        <v>292</v>
      </c>
      <c r="E28" s="24"/>
      <c r="F28" s="24" t="s">
        <v>293</v>
      </c>
      <c r="G28" s="31">
        <v>40939</v>
      </c>
      <c r="H28" s="29" t="s">
        <v>239</v>
      </c>
      <c r="I28" s="29" t="s">
        <v>282</v>
      </c>
      <c r="J28" s="29"/>
      <c r="K28" s="24" t="s">
        <v>204</v>
      </c>
      <c r="L28" s="24" t="s">
        <v>205</v>
      </c>
      <c r="M28" s="24">
        <v>81.7</v>
      </c>
      <c r="N28" s="24">
        <v>29.2</v>
      </c>
      <c r="O28" s="24" t="s">
        <v>158</v>
      </c>
      <c r="P28" s="25">
        <v>2500</v>
      </c>
      <c r="Q28" s="24">
        <v>30.2</v>
      </c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15.2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 t="s">
        <v>162</v>
      </c>
      <c r="AR28" s="29" t="s">
        <v>239</v>
      </c>
      <c r="AS28" s="29"/>
      <c r="AT28" s="29"/>
      <c r="AU28" s="29"/>
      <c r="AV28" s="29"/>
      <c r="AW28" s="29" t="s">
        <v>235</v>
      </c>
      <c r="AX28" s="24"/>
      <c r="AY28" s="29">
        <v>0</v>
      </c>
      <c r="AZ28" s="29">
        <v>0</v>
      </c>
      <c r="BA28" s="29">
        <v>10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24</v>
      </c>
      <c r="BJ28" s="29" t="s">
        <v>241</v>
      </c>
      <c r="BK28" s="29"/>
      <c r="BL28" s="29" t="s">
        <v>239</v>
      </c>
      <c r="BM28" s="29"/>
      <c r="BN28" s="24"/>
      <c r="BO28" s="24"/>
      <c r="BP28" s="29"/>
      <c r="BQ28" s="29" t="s">
        <v>239</v>
      </c>
      <c r="BR28" s="24"/>
    </row>
    <row r="29" spans="1:70" x14ac:dyDescent="0.15">
      <c r="A29" s="24">
        <v>1554</v>
      </c>
      <c r="B29" s="26">
        <v>41013</v>
      </c>
      <c r="C29" s="27" t="s">
        <v>291</v>
      </c>
      <c r="D29" s="24" t="s">
        <v>292</v>
      </c>
      <c r="E29" s="24"/>
      <c r="F29" s="24" t="s">
        <v>293</v>
      </c>
      <c r="G29" s="28">
        <v>40847</v>
      </c>
      <c r="H29" s="29" t="s">
        <v>241</v>
      </c>
      <c r="I29" s="29" t="s">
        <v>239</v>
      </c>
      <c r="J29" s="29"/>
      <c r="K29" s="24" t="s">
        <v>254</v>
      </c>
      <c r="L29" s="24" t="s">
        <v>255</v>
      </c>
      <c r="M29" s="24">
        <v>76.66</v>
      </c>
      <c r="N29" s="24">
        <v>33.130000000000003</v>
      </c>
      <c r="O29" s="24" t="s">
        <v>158</v>
      </c>
      <c r="P29" s="25">
        <v>2500</v>
      </c>
      <c r="Q29" s="24">
        <v>34.47</v>
      </c>
      <c r="R29" s="25"/>
      <c r="S29" s="24"/>
      <c r="T29" s="25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17.47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/>
      <c r="AQ29" s="24" t="s">
        <v>162</v>
      </c>
      <c r="AR29" s="29" t="s">
        <v>239</v>
      </c>
      <c r="AS29" s="29"/>
      <c r="AT29" s="29"/>
      <c r="AU29" s="29" t="s">
        <v>159</v>
      </c>
      <c r="AV29" s="29">
        <v>6.2</v>
      </c>
      <c r="AW29" s="29" t="s">
        <v>239</v>
      </c>
      <c r="AX29" s="24"/>
      <c r="AY29" s="29">
        <v>0</v>
      </c>
      <c r="AZ29" s="29">
        <v>0</v>
      </c>
      <c r="BA29" s="29">
        <v>0</v>
      </c>
      <c r="BB29" s="29">
        <v>19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24</v>
      </c>
      <c r="BJ29" s="29" t="s">
        <v>241</v>
      </c>
      <c r="BK29" s="29"/>
      <c r="BL29" s="29" t="s">
        <v>239</v>
      </c>
      <c r="BM29" s="29"/>
      <c r="BN29" s="24"/>
      <c r="BO29" s="24"/>
      <c r="BP29" s="29"/>
      <c r="BQ29" s="29" t="s">
        <v>239</v>
      </c>
      <c r="BR29" s="24"/>
    </row>
    <row r="30" spans="1:70" x14ac:dyDescent="0.15">
      <c r="A30" s="24">
        <v>1632</v>
      </c>
      <c r="B30" s="26">
        <v>41013</v>
      </c>
      <c r="C30" s="27" t="s">
        <v>291</v>
      </c>
      <c r="D30" s="24" t="s">
        <v>292</v>
      </c>
      <c r="E30" s="24"/>
      <c r="F30" s="24" t="s">
        <v>293</v>
      </c>
      <c r="G30" s="28">
        <v>40918</v>
      </c>
      <c r="H30" s="29" t="s">
        <v>241</v>
      </c>
      <c r="I30" s="29" t="s">
        <v>239</v>
      </c>
      <c r="J30" s="29"/>
      <c r="K30" s="24" t="s">
        <v>90</v>
      </c>
      <c r="L30" s="24" t="s">
        <v>219</v>
      </c>
      <c r="M30" s="24">
        <v>70</v>
      </c>
      <c r="N30" s="24">
        <v>29.5</v>
      </c>
      <c r="O30" s="24" t="s">
        <v>158</v>
      </c>
      <c r="P30" s="24">
        <v>2500</v>
      </c>
      <c r="Q30" s="24">
        <v>33.5</v>
      </c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13</v>
      </c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 t="s">
        <v>162</v>
      </c>
      <c r="AR30" s="29" t="s">
        <v>239</v>
      </c>
      <c r="AS30" s="29"/>
      <c r="AT30" s="29"/>
      <c r="AU30" s="29" t="s">
        <v>159</v>
      </c>
      <c r="AV30" s="29">
        <v>10</v>
      </c>
      <c r="AW30" s="29" t="s">
        <v>239</v>
      </c>
      <c r="AX30" s="24"/>
      <c r="AY30" s="29">
        <v>0</v>
      </c>
      <c r="AZ30" s="29">
        <v>0</v>
      </c>
      <c r="BA30" s="29">
        <v>0</v>
      </c>
      <c r="BB30" s="29">
        <v>10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36</v>
      </c>
      <c r="BJ30" s="29" t="s">
        <v>241</v>
      </c>
      <c r="BK30" s="29"/>
      <c r="BL30" s="29" t="s">
        <v>239</v>
      </c>
      <c r="BM30" s="29"/>
      <c r="BN30" s="30"/>
      <c r="BO30" s="30"/>
      <c r="BP30" s="29"/>
      <c r="BQ30" s="29" t="s">
        <v>239</v>
      </c>
      <c r="BR30" s="24"/>
    </row>
    <row r="31" spans="1:70" x14ac:dyDescent="0.15">
      <c r="A31" s="24">
        <v>92</v>
      </c>
      <c r="B31" s="26">
        <v>41012</v>
      </c>
      <c r="C31" s="27" t="s">
        <v>291</v>
      </c>
      <c r="D31" s="24" t="s">
        <v>292</v>
      </c>
      <c r="E31" s="24"/>
      <c r="F31" s="24" t="s">
        <v>176</v>
      </c>
      <c r="G31" s="28">
        <v>40925</v>
      </c>
      <c r="H31" s="29" t="s">
        <v>153</v>
      </c>
      <c r="I31" s="29" t="s">
        <v>282</v>
      </c>
      <c r="J31" s="29"/>
      <c r="K31" s="24" t="s">
        <v>157</v>
      </c>
      <c r="L31" s="24" t="s">
        <v>139</v>
      </c>
      <c r="M31" s="24">
        <v>68.069999999999993</v>
      </c>
      <c r="N31" s="24">
        <v>35.4</v>
      </c>
      <c r="O31" s="24"/>
      <c r="P31" s="25"/>
      <c r="Q31" s="24"/>
      <c r="R31" s="25"/>
      <c r="S31" s="24"/>
      <c r="T31" s="25"/>
      <c r="U31" s="24"/>
      <c r="V31" s="24"/>
      <c r="W31" s="24">
        <v>19.14</v>
      </c>
      <c r="X31" s="25"/>
      <c r="Y31" s="24"/>
      <c r="Z31" s="25"/>
      <c r="AA31" s="24"/>
      <c r="AB31" s="25"/>
      <c r="AC31" s="24"/>
      <c r="AD31" s="24"/>
      <c r="AE31" s="24"/>
      <c r="AF31" s="24"/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 t="s">
        <v>177</v>
      </c>
      <c r="AR31" s="29" t="s">
        <v>150</v>
      </c>
      <c r="AS31" s="29" t="s">
        <v>151</v>
      </c>
      <c r="AT31" s="29">
        <v>3</v>
      </c>
      <c r="AU31" s="29"/>
      <c r="AV31" s="29"/>
      <c r="AW31" s="29" t="s">
        <v>152</v>
      </c>
      <c r="AX31" s="24"/>
      <c r="AY31" s="29">
        <v>0</v>
      </c>
      <c r="AZ31" s="29">
        <v>15</v>
      </c>
      <c r="BA31" s="29">
        <v>0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 t="s">
        <v>153</v>
      </c>
      <c r="BK31" s="29">
        <v>24</v>
      </c>
      <c r="BL31" s="29" t="s">
        <v>153</v>
      </c>
      <c r="BM31" s="29"/>
      <c r="BN31" s="30" t="s">
        <v>194</v>
      </c>
      <c r="BO31" s="30" t="s">
        <v>195</v>
      </c>
      <c r="BP31" s="29">
        <v>25</v>
      </c>
      <c r="BQ31" s="29" t="s">
        <v>153</v>
      </c>
      <c r="BR31" s="24" t="s">
        <v>228</v>
      </c>
    </row>
    <row r="32" spans="1:70" x14ac:dyDescent="0.15">
      <c r="A32" s="24">
        <v>159</v>
      </c>
      <c r="B32" s="26">
        <v>41013</v>
      </c>
      <c r="C32" s="27" t="s">
        <v>291</v>
      </c>
      <c r="D32" s="24" t="s">
        <v>292</v>
      </c>
      <c r="E32" s="24"/>
      <c r="F32" s="24" t="s">
        <v>88</v>
      </c>
      <c r="G32" s="28">
        <v>40771</v>
      </c>
      <c r="H32" s="29" t="s">
        <v>153</v>
      </c>
      <c r="I32" s="29" t="s">
        <v>282</v>
      </c>
      <c r="J32" s="29"/>
      <c r="K32" s="24" t="s">
        <v>160</v>
      </c>
      <c r="L32" s="24" t="s">
        <v>161</v>
      </c>
      <c r="M32" s="24">
        <v>71.58</v>
      </c>
      <c r="N32" s="24">
        <v>35.19</v>
      </c>
      <c r="O32" s="24"/>
      <c r="P32" s="25"/>
      <c r="Q32" s="24"/>
      <c r="R32" s="25"/>
      <c r="S32" s="24"/>
      <c r="T32" s="25"/>
      <c r="U32" s="24"/>
      <c r="V32" s="24"/>
      <c r="W32" s="24">
        <v>20.69</v>
      </c>
      <c r="X32" s="24"/>
      <c r="Y32" s="24"/>
      <c r="Z32" s="24"/>
      <c r="AA32" s="24"/>
      <c r="AB32" s="24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 t="s">
        <v>89</v>
      </c>
      <c r="AR32" s="29" t="s">
        <v>153</v>
      </c>
      <c r="AS32" s="29"/>
      <c r="AT32" s="29"/>
      <c r="AU32" s="29"/>
      <c r="AV32" s="29"/>
      <c r="AW32" s="29" t="s">
        <v>153</v>
      </c>
      <c r="AX32" s="24"/>
      <c r="AY32" s="29">
        <v>0</v>
      </c>
      <c r="AZ32" s="29">
        <v>0</v>
      </c>
      <c r="BA32" s="29">
        <v>0</v>
      </c>
      <c r="BB32" s="29">
        <v>25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 t="s">
        <v>153</v>
      </c>
      <c r="BK32" s="29"/>
      <c r="BL32" s="29" t="s">
        <v>153</v>
      </c>
      <c r="BM32" s="29"/>
      <c r="BN32" s="24"/>
      <c r="BO32" s="24"/>
      <c r="BP32" s="29"/>
      <c r="BQ32" s="29" t="s">
        <v>153</v>
      </c>
      <c r="BR32" s="24"/>
    </row>
    <row r="33" spans="1:70" x14ac:dyDescent="0.15">
      <c r="A33" s="24">
        <v>203</v>
      </c>
      <c r="B33" s="26">
        <v>41012</v>
      </c>
      <c r="C33" s="27" t="s">
        <v>291</v>
      </c>
      <c r="D33" s="24" t="s">
        <v>292</v>
      </c>
      <c r="E33" s="24"/>
      <c r="F33" s="24" t="s">
        <v>176</v>
      </c>
      <c r="G33" s="28">
        <v>40877</v>
      </c>
      <c r="H33" s="29" t="s">
        <v>153</v>
      </c>
      <c r="I33" s="29" t="s">
        <v>282</v>
      </c>
      <c r="J33" s="29"/>
      <c r="K33" s="24" t="s">
        <v>211</v>
      </c>
      <c r="L33" s="24" t="s">
        <v>212</v>
      </c>
      <c r="M33" s="24">
        <v>88</v>
      </c>
      <c r="N33" s="24">
        <v>35.4</v>
      </c>
      <c r="O33" s="24"/>
      <c r="P33" s="24"/>
      <c r="Q33" s="24"/>
      <c r="R33" s="24"/>
      <c r="S33" s="24"/>
      <c r="T33" s="24"/>
      <c r="U33" s="24"/>
      <c r="V33" s="24"/>
      <c r="W33" s="24">
        <v>24</v>
      </c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 t="s">
        <v>89</v>
      </c>
      <c r="AR33" s="29" t="s">
        <v>153</v>
      </c>
      <c r="AS33" s="29"/>
      <c r="AT33" s="29"/>
      <c r="AU33" s="29"/>
      <c r="AV33" s="29"/>
      <c r="AW33" s="29" t="s">
        <v>153</v>
      </c>
      <c r="AX33" s="24"/>
      <c r="AY33" s="29">
        <v>0</v>
      </c>
      <c r="AZ33" s="29">
        <v>0</v>
      </c>
      <c r="BA33" s="29">
        <v>7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 t="s">
        <v>153</v>
      </c>
      <c r="BK33" s="29"/>
      <c r="BL33" s="29" t="s">
        <v>153</v>
      </c>
      <c r="BM33" s="29"/>
      <c r="BN33" s="30"/>
      <c r="BO33" s="30"/>
      <c r="BP33" s="29"/>
      <c r="BQ33" s="29" t="s">
        <v>153</v>
      </c>
      <c r="BR33" s="24" t="s">
        <v>213</v>
      </c>
    </row>
    <row r="34" spans="1:70" x14ac:dyDescent="0.15">
      <c r="A34" s="24">
        <v>243</v>
      </c>
      <c r="B34" s="26">
        <v>41012</v>
      </c>
      <c r="C34" s="27" t="s">
        <v>291</v>
      </c>
      <c r="D34" s="24" t="s">
        <v>292</v>
      </c>
      <c r="E34" s="24"/>
      <c r="F34" s="24" t="s">
        <v>176</v>
      </c>
      <c r="G34" s="28">
        <v>40939</v>
      </c>
      <c r="H34" s="29" t="s">
        <v>150</v>
      </c>
      <c r="I34" s="29" t="s">
        <v>153</v>
      </c>
      <c r="J34" s="29"/>
      <c r="K34" s="24" t="s">
        <v>218</v>
      </c>
      <c r="L34" s="24" t="s">
        <v>219</v>
      </c>
      <c r="M34" s="24">
        <v>70.25</v>
      </c>
      <c r="N34" s="24">
        <v>35.700000000000003</v>
      </c>
      <c r="O34" s="24"/>
      <c r="P34" s="25"/>
      <c r="Q34" s="24"/>
      <c r="R34" s="25"/>
      <c r="S34" s="24"/>
      <c r="T34" s="25"/>
      <c r="U34" s="24"/>
      <c r="V34" s="24"/>
      <c r="W34" s="24">
        <v>18.989999999999998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 t="s">
        <v>89</v>
      </c>
      <c r="AR34" s="29" t="s">
        <v>153</v>
      </c>
      <c r="AS34" s="29"/>
      <c r="AT34" s="29"/>
      <c r="AU34" s="29" t="s">
        <v>159</v>
      </c>
      <c r="AV34" s="29">
        <v>7</v>
      </c>
      <c r="AW34" s="29" t="s">
        <v>153</v>
      </c>
      <c r="AX34" s="24"/>
      <c r="AY34" s="29">
        <v>0</v>
      </c>
      <c r="AZ34" s="29">
        <v>0</v>
      </c>
      <c r="BA34" s="29">
        <v>0</v>
      </c>
      <c r="BB34" s="29">
        <v>20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 t="s">
        <v>153</v>
      </c>
      <c r="BK34" s="29"/>
      <c r="BL34" s="29" t="s">
        <v>153</v>
      </c>
      <c r="BM34" s="29"/>
      <c r="BN34" s="30" t="s">
        <v>220</v>
      </c>
      <c r="BO34" s="24"/>
      <c r="BP34" s="29"/>
      <c r="BQ34" s="29" t="s">
        <v>153</v>
      </c>
      <c r="BR34" s="24"/>
    </row>
    <row r="35" spans="1:70" x14ac:dyDescent="0.15">
      <c r="A35" s="24">
        <v>397</v>
      </c>
      <c r="B35" s="26">
        <v>41012</v>
      </c>
      <c r="C35" s="27" t="s">
        <v>291</v>
      </c>
      <c r="D35" s="24" t="s">
        <v>292</v>
      </c>
      <c r="E35" s="24"/>
      <c r="F35" s="24" t="s">
        <v>176</v>
      </c>
      <c r="G35" s="28">
        <v>40755</v>
      </c>
      <c r="H35" s="29" t="s">
        <v>150</v>
      </c>
      <c r="I35" s="29" t="s">
        <v>153</v>
      </c>
      <c r="J35" s="29"/>
      <c r="K35" s="24" t="s">
        <v>271</v>
      </c>
      <c r="L35" s="24" t="s">
        <v>142</v>
      </c>
      <c r="M35" s="24">
        <v>79.8</v>
      </c>
      <c r="N35" s="24">
        <v>30.95</v>
      </c>
      <c r="O35" s="24" t="s">
        <v>158</v>
      </c>
      <c r="P35" s="25">
        <v>2500</v>
      </c>
      <c r="Q35" s="24">
        <v>31.25</v>
      </c>
      <c r="R35" s="25">
        <v>10000</v>
      </c>
      <c r="S35" s="24">
        <v>31.5</v>
      </c>
      <c r="T35" s="25"/>
      <c r="U35" s="24"/>
      <c r="V35" s="24"/>
      <c r="W35" s="24">
        <v>16.75</v>
      </c>
      <c r="X35" s="24"/>
      <c r="Y35" s="24"/>
      <c r="Z35" s="24"/>
      <c r="AA35" s="24"/>
      <c r="AB35" s="24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 t="s">
        <v>89</v>
      </c>
      <c r="AR35" s="29" t="s">
        <v>153</v>
      </c>
      <c r="AS35" s="29"/>
      <c r="AT35" s="29"/>
      <c r="AU35" s="29" t="s">
        <v>159</v>
      </c>
      <c r="AV35" s="29">
        <v>8</v>
      </c>
      <c r="AW35" s="29" t="s">
        <v>153</v>
      </c>
      <c r="AX35" s="24"/>
      <c r="AY35" s="29">
        <v>0</v>
      </c>
      <c r="AZ35" s="29">
        <v>0</v>
      </c>
      <c r="BA35" s="29">
        <v>3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24</v>
      </c>
      <c r="BJ35" s="29" t="s">
        <v>150</v>
      </c>
      <c r="BK35" s="29"/>
      <c r="BL35" s="29" t="s">
        <v>153</v>
      </c>
      <c r="BM35" s="29"/>
      <c r="BN35" s="24"/>
      <c r="BO35" s="24"/>
      <c r="BP35" s="29"/>
      <c r="BQ35" s="29" t="s">
        <v>153</v>
      </c>
      <c r="BR35" s="24" t="s">
        <v>183</v>
      </c>
    </row>
    <row r="36" spans="1:70" x14ac:dyDescent="0.15">
      <c r="A36" s="24">
        <v>575</v>
      </c>
      <c r="B36" s="26">
        <v>41012</v>
      </c>
      <c r="C36" s="27" t="s">
        <v>291</v>
      </c>
      <c r="D36" s="24" t="s">
        <v>292</v>
      </c>
      <c r="E36" s="24"/>
      <c r="F36" s="24" t="s">
        <v>176</v>
      </c>
      <c r="G36" s="28">
        <v>40939</v>
      </c>
      <c r="H36" s="29" t="s">
        <v>150</v>
      </c>
      <c r="I36" s="29" t="s">
        <v>153</v>
      </c>
      <c r="J36" s="29"/>
      <c r="K36" s="24" t="s">
        <v>143</v>
      </c>
      <c r="L36" s="24" t="s">
        <v>144</v>
      </c>
      <c r="M36" s="24">
        <v>75.599999999999994</v>
      </c>
      <c r="N36" s="24">
        <v>38.392000000000003</v>
      </c>
      <c r="O36" s="24"/>
      <c r="P36" s="25"/>
      <c r="Q36" s="24"/>
      <c r="R36" s="25"/>
      <c r="S36" s="24"/>
      <c r="T36" s="25"/>
      <c r="U36" s="24"/>
      <c r="V36" s="24"/>
      <c r="W36" s="24">
        <v>18.86</v>
      </c>
      <c r="X36" s="25"/>
      <c r="Y36" s="24"/>
      <c r="Z36" s="25"/>
      <c r="AA36" s="24"/>
      <c r="AB36" s="25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 t="s">
        <v>89</v>
      </c>
      <c r="AR36" s="29" t="s">
        <v>153</v>
      </c>
      <c r="AS36" s="29"/>
      <c r="AT36" s="29"/>
      <c r="AU36" s="29" t="s">
        <v>159</v>
      </c>
      <c r="AV36" s="29">
        <v>6.8</v>
      </c>
      <c r="AW36" s="29" t="s">
        <v>152</v>
      </c>
      <c r="AX36" s="24"/>
      <c r="AY36" s="29">
        <v>0</v>
      </c>
      <c r="AZ36" s="29">
        <v>21</v>
      </c>
      <c r="BA36" s="29">
        <v>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24</v>
      </c>
      <c r="BJ36" s="29" t="s">
        <v>150</v>
      </c>
      <c r="BK36" s="29"/>
      <c r="BL36" s="29" t="s">
        <v>153</v>
      </c>
      <c r="BM36" s="29"/>
      <c r="BN36" s="24"/>
      <c r="BO36" s="24"/>
      <c r="BP36" s="29"/>
      <c r="BQ36" s="29" t="s">
        <v>153</v>
      </c>
      <c r="BR36" s="24"/>
    </row>
    <row r="37" spans="1:70" x14ac:dyDescent="0.15">
      <c r="A37" s="24">
        <v>704</v>
      </c>
      <c r="B37" s="26">
        <v>41012</v>
      </c>
      <c r="C37" s="27" t="s">
        <v>291</v>
      </c>
      <c r="D37" s="24" t="s">
        <v>292</v>
      </c>
      <c r="E37" s="24"/>
      <c r="F37" s="24" t="s">
        <v>176</v>
      </c>
      <c r="G37" s="28">
        <v>40999</v>
      </c>
      <c r="H37" s="29" t="s">
        <v>150</v>
      </c>
      <c r="I37" s="29" t="s">
        <v>153</v>
      </c>
      <c r="J37" s="29"/>
      <c r="K37" s="24" t="s">
        <v>147</v>
      </c>
      <c r="L37" s="24" t="s">
        <v>148</v>
      </c>
      <c r="M37" s="24">
        <v>99</v>
      </c>
      <c r="N37" s="24">
        <v>38.03</v>
      </c>
      <c r="O37" s="24"/>
      <c r="P37" s="24"/>
      <c r="Q37" s="24"/>
      <c r="R37" s="24"/>
      <c r="S37" s="24"/>
      <c r="T37" s="24"/>
      <c r="U37" s="24"/>
      <c r="V37" s="24"/>
      <c r="W37" s="24">
        <v>19.59</v>
      </c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 t="s">
        <v>89</v>
      </c>
      <c r="AR37" s="29" t="s">
        <v>153</v>
      </c>
      <c r="AS37" s="29"/>
      <c r="AT37" s="29"/>
      <c r="AU37" s="29" t="s">
        <v>159</v>
      </c>
      <c r="AV37" s="29">
        <v>6.8</v>
      </c>
      <c r="AW37" s="29" t="s">
        <v>153</v>
      </c>
      <c r="AX37" s="24"/>
      <c r="AY37" s="29">
        <v>0</v>
      </c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 t="s">
        <v>153</v>
      </c>
      <c r="BK37" s="29"/>
      <c r="BL37" s="29" t="s">
        <v>153</v>
      </c>
      <c r="BM37" s="29"/>
      <c r="BN37" s="30"/>
      <c r="BO37" s="30"/>
      <c r="BP37" s="29"/>
      <c r="BQ37" s="29" t="s">
        <v>153</v>
      </c>
      <c r="BR37" s="24"/>
    </row>
    <row r="38" spans="1:70" x14ac:dyDescent="0.15">
      <c r="A38" s="24">
        <v>837</v>
      </c>
      <c r="B38" s="26">
        <v>41012</v>
      </c>
      <c r="C38" s="27" t="s">
        <v>291</v>
      </c>
      <c r="D38" s="24" t="s">
        <v>292</v>
      </c>
      <c r="E38" s="24"/>
      <c r="F38" s="24" t="s">
        <v>176</v>
      </c>
      <c r="G38" s="28">
        <v>40908</v>
      </c>
      <c r="H38" s="29" t="s">
        <v>150</v>
      </c>
      <c r="I38" s="29" t="s">
        <v>153</v>
      </c>
      <c r="J38" s="29"/>
      <c r="K38" s="24" t="s">
        <v>242</v>
      </c>
      <c r="L38" s="24" t="s">
        <v>243</v>
      </c>
      <c r="M38" s="24">
        <v>75.97</v>
      </c>
      <c r="N38" s="24">
        <v>28.98</v>
      </c>
      <c r="O38" s="24" t="s">
        <v>158</v>
      </c>
      <c r="P38" s="25">
        <v>5000</v>
      </c>
      <c r="Q38" s="24">
        <v>26.93</v>
      </c>
      <c r="R38" s="25"/>
      <c r="S38" s="24"/>
      <c r="T38" s="25"/>
      <c r="U38" s="24"/>
      <c r="V38" s="24"/>
      <c r="W38" s="24">
        <v>14.66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t="s">
        <v>89</v>
      </c>
      <c r="AR38" s="29" t="s">
        <v>153</v>
      </c>
      <c r="AS38" s="29"/>
      <c r="AT38" s="29"/>
      <c r="AU38" s="29" t="s">
        <v>159</v>
      </c>
      <c r="AV38" s="29">
        <v>7</v>
      </c>
      <c r="AW38" s="29" t="s">
        <v>153</v>
      </c>
      <c r="AX38" s="24"/>
      <c r="AY38" s="29">
        <v>0</v>
      </c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36</v>
      </c>
      <c r="BJ38" s="29" t="s">
        <v>153</v>
      </c>
      <c r="BK38" s="29"/>
      <c r="BL38" s="29" t="s">
        <v>153</v>
      </c>
      <c r="BM38" s="29"/>
      <c r="BN38" s="24"/>
      <c r="BO38" s="24"/>
      <c r="BP38" s="29"/>
      <c r="BQ38" s="29" t="s">
        <v>153</v>
      </c>
      <c r="BR38" s="24" t="s">
        <v>189</v>
      </c>
    </row>
    <row r="39" spans="1:70" x14ac:dyDescent="0.15">
      <c r="A39" s="24">
        <v>924</v>
      </c>
      <c r="B39" s="26">
        <v>41012</v>
      </c>
      <c r="C39" s="27" t="s">
        <v>291</v>
      </c>
      <c r="D39" s="24" t="s">
        <v>292</v>
      </c>
      <c r="E39" s="24"/>
      <c r="F39" s="24" t="s">
        <v>176</v>
      </c>
      <c r="G39" s="28">
        <v>40982</v>
      </c>
      <c r="H39" s="29" t="s">
        <v>150</v>
      </c>
      <c r="I39" s="29" t="s">
        <v>153</v>
      </c>
      <c r="J39" s="29"/>
      <c r="K39" s="24" t="s">
        <v>190</v>
      </c>
      <c r="L39" s="24" t="s">
        <v>86</v>
      </c>
      <c r="M39" s="24">
        <v>82.6</v>
      </c>
      <c r="N39" s="24">
        <v>37.81</v>
      </c>
      <c r="O39" s="24" t="s">
        <v>158</v>
      </c>
      <c r="P39" s="25">
        <v>1200</v>
      </c>
      <c r="Q39" s="24">
        <v>34.25</v>
      </c>
      <c r="R39" s="25"/>
      <c r="S39" s="24"/>
      <c r="T39" s="25"/>
      <c r="U39" s="24"/>
      <c r="V39" s="24"/>
      <c r="W39" s="24">
        <v>18.170000000000002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t="s">
        <v>89</v>
      </c>
      <c r="AR39" s="29" t="s">
        <v>153</v>
      </c>
      <c r="AS39" s="29"/>
      <c r="AT39" s="29"/>
      <c r="AU39" s="29" t="s">
        <v>159</v>
      </c>
      <c r="AV39" s="29">
        <v>6.8</v>
      </c>
      <c r="AW39" s="29" t="s">
        <v>153</v>
      </c>
      <c r="AX39" s="24"/>
      <c r="AY39" s="29">
        <v>0</v>
      </c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12</v>
      </c>
      <c r="BJ39" s="29" t="s">
        <v>150</v>
      </c>
      <c r="BK39" s="29"/>
      <c r="BL39" s="29" t="s">
        <v>153</v>
      </c>
      <c r="BM39" s="29"/>
      <c r="BN39" s="24"/>
      <c r="BO39" s="24"/>
      <c r="BP39" s="29"/>
      <c r="BQ39" s="29" t="s">
        <v>153</v>
      </c>
      <c r="BR39" s="24" t="s">
        <v>87</v>
      </c>
    </row>
    <row r="40" spans="1:70" x14ac:dyDescent="0.15">
      <c r="A40" s="24">
        <v>1151</v>
      </c>
      <c r="B40" s="26">
        <v>41013</v>
      </c>
      <c r="C40" s="27" t="s">
        <v>291</v>
      </c>
      <c r="D40" s="24" t="s">
        <v>292</v>
      </c>
      <c r="E40" s="24"/>
      <c r="F40" s="24" t="s">
        <v>176</v>
      </c>
      <c r="G40" s="28">
        <v>40999</v>
      </c>
      <c r="H40" s="29" t="s">
        <v>150</v>
      </c>
      <c r="I40" s="29" t="s">
        <v>153</v>
      </c>
      <c r="J40" s="29"/>
      <c r="K40" s="24" t="s">
        <v>260</v>
      </c>
      <c r="L40" s="24" t="s">
        <v>261</v>
      </c>
      <c r="M40" s="24">
        <v>70.44</v>
      </c>
      <c r="N40" s="24">
        <v>35.76</v>
      </c>
      <c r="O40" s="24"/>
      <c r="P40" s="25"/>
      <c r="Q40" s="24"/>
      <c r="R40" s="25"/>
      <c r="S40" s="24"/>
      <c r="T40" s="25"/>
      <c r="U40" s="24"/>
      <c r="V40" s="24"/>
      <c r="W40" s="24">
        <v>18.95</v>
      </c>
      <c r="X40" s="24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 t="s">
        <v>89</v>
      </c>
      <c r="AR40" s="29" t="s">
        <v>153</v>
      </c>
      <c r="AS40" s="29"/>
      <c r="AT40" s="29"/>
      <c r="AU40" s="29" t="s">
        <v>159</v>
      </c>
      <c r="AV40" s="29">
        <v>6.8</v>
      </c>
      <c r="AW40" s="29" t="s">
        <v>152</v>
      </c>
      <c r="AX40" s="24"/>
      <c r="AY40" s="29">
        <v>0</v>
      </c>
      <c r="AZ40" s="29">
        <v>20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12</v>
      </c>
      <c r="BJ40" s="29" t="s">
        <v>150</v>
      </c>
      <c r="BK40" s="29"/>
      <c r="BL40" s="29" t="s">
        <v>153</v>
      </c>
      <c r="BM40" s="29"/>
      <c r="BN40" s="30"/>
      <c r="BO40" s="30"/>
      <c r="BP40" s="29"/>
      <c r="BQ40" s="29" t="s">
        <v>153</v>
      </c>
      <c r="BR40" s="30" t="s">
        <v>262</v>
      </c>
    </row>
    <row r="41" spans="1:70" x14ac:dyDescent="0.15">
      <c r="A41" s="24">
        <v>1217</v>
      </c>
      <c r="B41" s="26">
        <v>41012</v>
      </c>
      <c r="C41" s="27" t="s">
        <v>291</v>
      </c>
      <c r="D41" s="24" t="s">
        <v>292</v>
      </c>
      <c r="E41" s="24"/>
      <c r="F41" s="24" t="s">
        <v>176</v>
      </c>
      <c r="G41" s="28">
        <v>40940</v>
      </c>
      <c r="H41" s="29" t="s">
        <v>153</v>
      </c>
      <c r="I41" s="29" t="s">
        <v>282</v>
      </c>
      <c r="J41" s="29"/>
      <c r="K41" s="24" t="s">
        <v>178</v>
      </c>
      <c r="L41" s="24" t="s">
        <v>179</v>
      </c>
      <c r="M41" s="24">
        <v>73.959999999999994</v>
      </c>
      <c r="N41" s="24">
        <v>30.41</v>
      </c>
      <c r="O41" s="24" t="s">
        <v>158</v>
      </c>
      <c r="P41" s="25">
        <v>5000</v>
      </c>
      <c r="Q41" s="24">
        <v>30.91</v>
      </c>
      <c r="R41" s="25"/>
      <c r="S41" s="24"/>
      <c r="T41" s="25"/>
      <c r="U41" s="24"/>
      <c r="V41" s="24"/>
      <c r="W41" s="24">
        <v>14.04</v>
      </c>
      <c r="X41" s="24"/>
      <c r="Y41" s="24"/>
      <c r="Z41" s="25"/>
      <c r="AA41" s="24"/>
      <c r="AB41" s="25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 t="s">
        <v>89</v>
      </c>
      <c r="AR41" s="29" t="s">
        <v>153</v>
      </c>
      <c r="AS41" s="29"/>
      <c r="AT41" s="29"/>
      <c r="AU41" s="29"/>
      <c r="AV41" s="29"/>
      <c r="AW41" s="29" t="s">
        <v>153</v>
      </c>
      <c r="AX41" s="24"/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 t="s">
        <v>153</v>
      </c>
      <c r="BK41" s="29">
        <v>12</v>
      </c>
      <c r="BL41" s="29" t="s">
        <v>153</v>
      </c>
      <c r="BM41" s="29"/>
      <c r="BN41" s="24"/>
      <c r="BO41" s="24"/>
      <c r="BP41" s="29"/>
      <c r="BQ41" s="29" t="s">
        <v>153</v>
      </c>
      <c r="BR41" s="24" t="s">
        <v>180</v>
      </c>
    </row>
    <row r="42" spans="1:70" x14ac:dyDescent="0.15">
      <c r="A42" s="24">
        <v>1321</v>
      </c>
      <c r="B42" s="26">
        <v>41012</v>
      </c>
      <c r="C42" s="27" t="s">
        <v>291</v>
      </c>
      <c r="D42" s="24" t="s">
        <v>292</v>
      </c>
      <c r="E42" s="24"/>
      <c r="F42" s="24" t="s">
        <v>176</v>
      </c>
      <c r="G42" s="28">
        <v>40949</v>
      </c>
      <c r="H42" s="29" t="s">
        <v>153</v>
      </c>
      <c r="I42" s="29" t="s">
        <v>282</v>
      </c>
      <c r="J42" s="29"/>
      <c r="K42" s="24" t="s">
        <v>270</v>
      </c>
      <c r="L42" s="24" t="s">
        <v>248</v>
      </c>
      <c r="M42" s="24">
        <v>72.930000000000007</v>
      </c>
      <c r="N42" s="24">
        <v>32.409999999999997</v>
      </c>
      <c r="O42" s="24"/>
      <c r="P42" s="25"/>
      <c r="Q42" s="24"/>
      <c r="R42" s="25"/>
      <c r="S42" s="24"/>
      <c r="T42" s="25"/>
      <c r="U42" s="24"/>
      <c r="V42" s="24"/>
      <c r="W42" s="24">
        <v>17.559999999999999</v>
      </c>
      <c r="X42" s="24"/>
      <c r="Y42" s="24"/>
      <c r="Z42" s="25"/>
      <c r="AA42" s="24"/>
      <c r="AB42" s="25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 t="s">
        <v>89</v>
      </c>
      <c r="AR42" s="29" t="s">
        <v>153</v>
      </c>
      <c r="AS42" s="29"/>
      <c r="AT42" s="29"/>
      <c r="AU42" s="29"/>
      <c r="AV42" s="29"/>
      <c r="AW42" s="29" t="s">
        <v>152</v>
      </c>
      <c r="AX42" s="24"/>
      <c r="AY42" s="29">
        <v>0</v>
      </c>
      <c r="AZ42" s="29">
        <v>0</v>
      </c>
      <c r="BA42" s="29">
        <v>0</v>
      </c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 t="s">
        <v>153</v>
      </c>
      <c r="BK42" s="29">
        <v>24</v>
      </c>
      <c r="BL42" s="29" t="s">
        <v>153</v>
      </c>
      <c r="BM42" s="29"/>
      <c r="BN42" s="30"/>
      <c r="BO42" s="30"/>
      <c r="BP42" s="29"/>
      <c r="BQ42" s="29" t="s">
        <v>153</v>
      </c>
      <c r="BR42" s="24" t="s">
        <v>203</v>
      </c>
    </row>
    <row r="43" spans="1:70" x14ac:dyDescent="0.15">
      <c r="A43" s="24">
        <v>1477</v>
      </c>
      <c r="B43" s="26">
        <v>41013</v>
      </c>
      <c r="C43" s="27" t="s">
        <v>291</v>
      </c>
      <c r="D43" s="24" t="s">
        <v>292</v>
      </c>
      <c r="E43" s="24"/>
      <c r="F43" s="24" t="s">
        <v>176</v>
      </c>
      <c r="G43" s="31">
        <v>40939</v>
      </c>
      <c r="H43" s="29" t="s">
        <v>153</v>
      </c>
      <c r="I43" s="29" t="s">
        <v>282</v>
      </c>
      <c r="J43" s="29"/>
      <c r="K43" s="24" t="s">
        <v>204</v>
      </c>
      <c r="L43" s="24" t="s">
        <v>205</v>
      </c>
      <c r="M43" s="24">
        <v>81.7</v>
      </c>
      <c r="N43" s="24">
        <v>35</v>
      </c>
      <c r="O43" s="24"/>
      <c r="P43" s="25"/>
      <c r="Q43" s="24"/>
      <c r="R43" s="25"/>
      <c r="S43" s="24"/>
      <c r="T43" s="25"/>
      <c r="U43" s="24"/>
      <c r="V43" s="24"/>
      <c r="W43" s="24">
        <v>18.5</v>
      </c>
      <c r="X43" s="24"/>
      <c r="Y43" s="24"/>
      <c r="Z43" s="24"/>
      <c r="AA43" s="24"/>
      <c r="AB43" s="24"/>
      <c r="AC43" s="24"/>
      <c r="AD43" s="24"/>
      <c r="AE43" s="24"/>
      <c r="AF43" s="24"/>
      <c r="AG43" s="25"/>
      <c r="AH43" s="24"/>
      <c r="AI43" s="24"/>
      <c r="AJ43" s="24"/>
      <c r="AK43" s="24"/>
      <c r="AL43" s="24"/>
      <c r="AM43" s="24"/>
      <c r="AN43" s="24"/>
      <c r="AO43" s="24"/>
      <c r="AP43" s="24"/>
      <c r="AQ43" s="24" t="s">
        <v>89</v>
      </c>
      <c r="AR43" s="29" t="s">
        <v>153</v>
      </c>
      <c r="AS43" s="29"/>
      <c r="AT43" s="29"/>
      <c r="AU43" s="29"/>
      <c r="AV43" s="29"/>
      <c r="AW43" s="29" t="s">
        <v>152</v>
      </c>
      <c r="AX43" s="24"/>
      <c r="AY43" s="29">
        <v>0</v>
      </c>
      <c r="AZ43" s="29">
        <v>0</v>
      </c>
      <c r="BA43" s="29">
        <v>10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24</v>
      </c>
      <c r="BJ43" s="29" t="s">
        <v>150</v>
      </c>
      <c r="BK43" s="29"/>
      <c r="BL43" s="29" t="s">
        <v>153</v>
      </c>
      <c r="BM43" s="29"/>
      <c r="BN43" s="24"/>
      <c r="BO43" s="24"/>
      <c r="BP43" s="29"/>
      <c r="BQ43" s="29" t="s">
        <v>153</v>
      </c>
      <c r="BR43" s="24"/>
    </row>
    <row r="44" spans="1:70" x14ac:dyDescent="0.15">
      <c r="A44" s="24">
        <v>1556</v>
      </c>
      <c r="B44" s="26">
        <v>41013</v>
      </c>
      <c r="C44" s="27" t="s">
        <v>291</v>
      </c>
      <c r="D44" s="24" t="s">
        <v>292</v>
      </c>
      <c r="E44" s="24"/>
      <c r="F44" s="24" t="s">
        <v>176</v>
      </c>
      <c r="G44" s="28">
        <v>40847</v>
      </c>
      <c r="H44" s="29" t="s">
        <v>150</v>
      </c>
      <c r="I44" s="29" t="s">
        <v>153</v>
      </c>
      <c r="J44" s="29"/>
      <c r="K44" s="24" t="s">
        <v>254</v>
      </c>
      <c r="L44" s="24" t="s">
        <v>255</v>
      </c>
      <c r="M44" s="24">
        <v>76.66</v>
      </c>
      <c r="N44" s="24">
        <v>38.630000000000003</v>
      </c>
      <c r="O44" s="24"/>
      <c r="P44" s="25"/>
      <c r="Q44" s="24"/>
      <c r="R44" s="25"/>
      <c r="S44" s="24"/>
      <c r="T44" s="25"/>
      <c r="U44" s="24"/>
      <c r="V44" s="24"/>
      <c r="W44" s="24">
        <v>23.83</v>
      </c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 t="s">
        <v>89</v>
      </c>
      <c r="AR44" s="29" t="s">
        <v>153</v>
      </c>
      <c r="AS44" s="29"/>
      <c r="AT44" s="29"/>
      <c r="AU44" s="29" t="s">
        <v>159</v>
      </c>
      <c r="AV44" s="29">
        <v>6.2</v>
      </c>
      <c r="AW44" s="29" t="s">
        <v>153</v>
      </c>
      <c r="AX44" s="24"/>
      <c r="AY44" s="29">
        <v>0</v>
      </c>
      <c r="AZ44" s="29">
        <v>0</v>
      </c>
      <c r="BA44" s="29">
        <v>0</v>
      </c>
      <c r="BB44" s="29">
        <v>19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24</v>
      </c>
      <c r="BJ44" s="29" t="s">
        <v>150</v>
      </c>
      <c r="BK44" s="29"/>
      <c r="BL44" s="29" t="s">
        <v>153</v>
      </c>
      <c r="BM44" s="29"/>
      <c r="BN44" s="24"/>
      <c r="BO44" s="24"/>
      <c r="BP44" s="29"/>
      <c r="BQ44" s="29" t="s">
        <v>153</v>
      </c>
      <c r="BR44" s="24"/>
    </row>
    <row r="45" spans="1:70" x14ac:dyDescent="0.15">
      <c r="A45" s="24">
        <v>1634</v>
      </c>
      <c r="B45" s="26">
        <v>41013</v>
      </c>
      <c r="C45" s="27" t="s">
        <v>291</v>
      </c>
      <c r="D45" s="24" t="s">
        <v>292</v>
      </c>
      <c r="E45" s="24"/>
      <c r="F45" s="24" t="s">
        <v>176</v>
      </c>
      <c r="G45" s="28">
        <v>40918</v>
      </c>
      <c r="H45" s="29" t="s">
        <v>241</v>
      </c>
      <c r="I45" s="29" t="s">
        <v>239</v>
      </c>
      <c r="J45" s="29"/>
      <c r="K45" s="24" t="s">
        <v>90</v>
      </c>
      <c r="L45" s="24" t="s">
        <v>219</v>
      </c>
      <c r="M45" s="24">
        <v>70</v>
      </c>
      <c r="N45" s="24">
        <v>35.799999999999997</v>
      </c>
      <c r="O45" s="24"/>
      <c r="P45" s="24"/>
      <c r="Q45" s="24"/>
      <c r="R45" s="24"/>
      <c r="S45" s="24"/>
      <c r="T45" s="24"/>
      <c r="U45" s="24"/>
      <c r="V45" s="24"/>
      <c r="W45" s="24">
        <v>18</v>
      </c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 t="s">
        <v>89</v>
      </c>
      <c r="AR45" s="29" t="s">
        <v>239</v>
      </c>
      <c r="AS45" s="29"/>
      <c r="AT45" s="29"/>
      <c r="AU45" s="29" t="s">
        <v>159</v>
      </c>
      <c r="AV45" s="29">
        <v>10</v>
      </c>
      <c r="AW45" s="29" t="s">
        <v>239</v>
      </c>
      <c r="AX45" s="24"/>
      <c r="AY45" s="29">
        <v>0</v>
      </c>
      <c r="AZ45" s="29">
        <v>0</v>
      </c>
      <c r="BA45" s="29">
        <v>0</v>
      </c>
      <c r="BB45" s="29">
        <v>10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36</v>
      </c>
      <c r="BJ45" s="29" t="s">
        <v>241</v>
      </c>
      <c r="BK45" s="29"/>
      <c r="BL45" s="29" t="s">
        <v>239</v>
      </c>
      <c r="BM45" s="29"/>
      <c r="BN45" s="30"/>
      <c r="BO45" s="30"/>
      <c r="BP45" s="29"/>
      <c r="BQ45" s="29" t="s">
        <v>239</v>
      </c>
      <c r="BR45" s="24"/>
    </row>
  </sheetData>
  <sheetProtection algorithmName="SHA-512" hashValue="3wuIfdJHCJmLsPGTwD1+7cEv4pNZ6aji2MTivuAPh2aDcc6FkwCd6XFD+2bSEnru7L7l7QdZgDxR0nOa3fJRGA==" saltValue="Xjvu0OvtL5PWHKrtzJPfog==" spinCount="100000" sheet="1" objects="1" scenarios="1"/>
  <sortState xmlns:xlrd2="http://schemas.microsoft.com/office/spreadsheetml/2017/richdata2" ref="A1:XFD1048576">
    <sortCondition ref="F2:F1048576"/>
    <sortCondition ref="K2:K1048576"/>
  </sortState>
  <phoneticPr fontId="2" type="noConversion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25E73-B1B0-764B-AFEF-E1298DAFE2FC}">
  <sheetPr codeName="Sheet26">
    <tabColor theme="9" tint="0.39997558519241921"/>
  </sheetPr>
  <dimension ref="A1:AR88"/>
  <sheetViews>
    <sheetView zoomScaleNormal="100" zoomScalePageLayoutView="125" workbookViewId="0">
      <selection activeCell="Q1" sqref="Q1:T1048576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61" t="s">
        <v>31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</row>
    <row r="2" spans="1:44" ht="14" x14ac:dyDescent="0.15">
      <c r="A2" s="365" t="s">
        <v>236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</row>
    <row r="3" spans="1:44" ht="15" thickBot="1" x14ac:dyDescent="0.2">
      <c r="A3" s="361"/>
      <c r="B3" s="361"/>
      <c r="C3" s="361"/>
      <c r="D3" s="361"/>
      <c r="E3" s="361"/>
      <c r="F3" s="361"/>
      <c r="G3" s="366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1"/>
      <c r="AR3" s="361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  <c r="AL4" s="361"/>
      <c r="AM4" s="361"/>
      <c r="AN4" s="361"/>
      <c r="AO4" s="361"/>
      <c r="AP4" s="361"/>
      <c r="AQ4" s="361"/>
      <c r="AR4" s="361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  <c r="AO6" s="361"/>
      <c r="AP6" s="361"/>
      <c r="AQ6" s="361"/>
      <c r="AR6" s="361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</row>
    <row r="8" spans="1:44" ht="14" x14ac:dyDescent="0.15">
      <c r="A8" s="70" t="str">
        <f>'SA Oct 2022'!K2</f>
        <v>AGL</v>
      </c>
      <c r="B8" s="49" t="str">
        <f>'SA Oct 2022'!L2</f>
        <v>Value Saver</v>
      </c>
      <c r="C8" s="46">
        <f>IF('SA Oct 2022'!BP2=0,91*'SA Oct 2022'!M2/100,(91*'SA Oct 2022'!M2/100)+'SA Oct 2022'!BP2/4)</f>
        <v>90.511909090909086</v>
      </c>
      <c r="D8" s="46">
        <f>IF('SA Oct 2022'!O2="",$C$5*'SA Oct 2022'!N2/100,IF($C$5&gt;='SA Oct 2022'!P2,('SA Oct 2022'!P2*'SA Oct 2022'!N2/100),($C$5*'SA Oct 2022'!N2/100)))</f>
        <v>1715.9090909090905</v>
      </c>
      <c r="E8" s="46">
        <f>IF(AND('SA Oct 2022'!P2&gt;0,'SA Oct 2022'!R2&gt;0),IF($C$5&lt;'SA Oct 2022'!P2,0,IF($C$5&lt;=('SA Oct 2022'!R2+'SA Oct 2022'!P2),(($C$5-'SA Oct 2022'!P2)*'SA Oct 2022'!Q2/100),(('SA Oct 2022'!R2)*'SA Oct 2022'!Q2/100))),0)</f>
        <v>0</v>
      </c>
      <c r="F8" s="46">
        <f>IF(AND('SA Oct 2022'!Q2&gt;0,'SA Oct 2022'!S2&gt;0),IF($C$5&lt;('SA Oct 2022'!R2+'SA Oct 2022'!P2),0,IF($C$5&lt;=('SA Oct 2022'!T2+'SA Oct 2022'!R2+'SA Oct 2022'!P2),(($C$5-('SA Oct 2022'!R2+'SA Oct 2022'!P2))*'SA Oct 2022'!S2/100),('SA Oct 2022'!T2*'SA Oct 2022'!S2/100))),0)</f>
        <v>0</v>
      </c>
      <c r="G8" s="50">
        <v>0</v>
      </c>
      <c r="H8" s="46">
        <f>IF(AND('SA Oct 2022'!R2&gt;0,'SA Oct 2022'!T2&gt;0),IF(($C$5&lt;'SA Oct 2022'!T2),(0),($C$5-'SA Oct 2022'!T2)*'SA Oct 2022'!U2/100),IF(AND('SA Oct 2022'!R2&gt;0,'SA Oct 2022'!T2=""),IF(($C$5&lt;'SA Oct 2022'!R2+'SA Oct 2022'!P2),(0),(($C$5-('SA Oct 2022'!R2+'SA Oct 2022'!P2))*'SA Oct 2022'!S2/100)),IF(AND('SA Oct 2022'!P2&gt;0,'SA Oct 2022'!R2=""&gt;0),IF(($C$5&lt;'SA Oct 2022'!P2),(0),($C$5-'SA Oct 2022'!P2)*'SA Oct 2022'!Q2/100),0)))</f>
        <v>0</v>
      </c>
      <c r="I8" s="52">
        <f>SUM(C8:H8)</f>
        <v>1806.4209999999996</v>
      </c>
      <c r="J8" s="109">
        <f>(I8-C8)*4</f>
        <v>6863.6363636363621</v>
      </c>
      <c r="K8" s="109">
        <f t="shared" ref="K8:K22" si="0">I8*4</f>
        <v>7225.6839999999984</v>
      </c>
      <c r="L8" s="53">
        <f>K8*1.1</f>
        <v>7948.2523999999985</v>
      </c>
      <c r="M8" s="54">
        <f>'SA Oct 2022'!BB2</f>
        <v>0</v>
      </c>
      <c r="N8" s="54">
        <f>'SA Oct 2022'!BC2</f>
        <v>0</v>
      </c>
      <c r="O8" s="54">
        <f>'SA Oct 2022'!BD2</f>
        <v>0</v>
      </c>
      <c r="P8" s="54">
        <f>'SA Oct 2022'!BE2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2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7225.6839999999984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7225.6839999999984</v>
      </c>
      <c r="U8" s="97">
        <f>S8*1.1</f>
        <v>7948.2523999999985</v>
      </c>
      <c r="V8" s="98">
        <f>T8*1.1</f>
        <v>7948.2523999999985</v>
      </c>
      <c r="W8" s="55">
        <f>'SA Oct 2022'!BL2</f>
        <v>12</v>
      </c>
      <c r="X8" s="56">
        <f>'SA Oct 2022'!BM2</f>
        <v>0</v>
      </c>
      <c r="Y8" s="361"/>
      <c r="Z8" s="361"/>
      <c r="AA8" s="361"/>
      <c r="AB8" s="361"/>
      <c r="AC8" s="361"/>
      <c r="AD8" s="361"/>
      <c r="AE8" s="361"/>
      <c r="AF8" s="361"/>
      <c r="AG8" s="361"/>
      <c r="AH8" s="361"/>
      <c r="AI8" s="361"/>
      <c r="AJ8" s="361"/>
      <c r="AK8" s="361"/>
      <c r="AL8" s="361"/>
      <c r="AM8" s="361"/>
      <c r="AN8" s="361"/>
      <c r="AO8" s="361"/>
      <c r="AP8" s="361"/>
      <c r="AQ8" s="361"/>
      <c r="AR8" s="361"/>
    </row>
    <row r="9" spans="1:44" ht="14" x14ac:dyDescent="0.15">
      <c r="A9" s="70" t="str">
        <f>'SA Oct 2022'!K3</f>
        <v>Alinta Energy</v>
      </c>
      <c r="B9" s="49" t="str">
        <f>'SA Oct 2022'!L3</f>
        <v>BusinessDeal</v>
      </c>
      <c r="C9" s="46">
        <f>IF('SA Oct 2022'!BP3=0,91*'SA Oct 2022'!M3/100,(91*'SA Oct 2022'!M3/100)+'SA Oct 2022'!BP3/4)</f>
        <v>84.646545454545446</v>
      </c>
      <c r="D9" s="46">
        <f>IF('SA Oct 2022'!O3="",$C$5*'SA Oct 2022'!N3/100,IF($C$5&gt;='SA Oct 2022'!P3,('SA Oct 2022'!P3*'SA Oct 2022'!N3/100),($C$5*'SA Oct 2022'!N3/100)))</f>
        <v>1706.8181818181818</v>
      </c>
      <c r="E9" s="46">
        <f>IF(AND('SA Oct 2022'!P3&gt;0,'SA Oct 2022'!R3&gt;0),IF($C$5&lt;'SA Oct 2022'!P3,0,IF($C$5&lt;=('SA Oct 2022'!R3+'SA Oct 2022'!P3),(($C$5-'SA Oct 2022'!P3)*'SA Oct 2022'!Q3/100),(('SA Oct 2022'!R3)*'SA Oct 2022'!Q3/100))),0)</f>
        <v>0</v>
      </c>
      <c r="F9" s="46">
        <f>IF(AND('SA Oct 2022'!Q3&gt;0,'SA Oct 2022'!S3&gt;0),IF($C$5&lt;('SA Oct 2022'!R3+'SA Oct 2022'!P3),0,IF($C$5&lt;=('SA Oct 2022'!T3+'SA Oct 2022'!R3+'SA Oct 2022'!P3),(($C$5-('SA Oct 2022'!R3+'SA Oct 2022'!P3))*'SA Oct 2022'!S3/100),('SA Oct 2022'!T3*'SA Oct 2022'!S3/100))),0)</f>
        <v>0</v>
      </c>
      <c r="G9" s="50">
        <v>0</v>
      </c>
      <c r="H9" s="46">
        <f>IF(AND('SA Oct 2022'!R3&gt;0,'SA Oct 2022'!T3&gt;0),IF(($C$5&lt;'SA Oct 2022'!T3),(0),($C$5-'SA Oct 2022'!T3)*'SA Oct 2022'!U3/100),IF(AND('SA Oct 2022'!R3&gt;0,'SA Oct 2022'!T3=""),IF(($C$5&lt;'SA Oct 2022'!R3+'SA Oct 2022'!P3),(0),(($C$5-('SA Oct 2022'!R3+'SA Oct 2022'!P3))*'SA Oct 2022'!S3/100)),IF(AND('SA Oct 2022'!P3&gt;0,'SA Oct 2022'!R3=""&gt;0),IF(($C$5&lt;'SA Oct 2022'!P3),(0),($C$5-'SA Oct 2022'!P3)*'SA Oct 2022'!Q3/100),0)))</f>
        <v>0</v>
      </c>
      <c r="I9" s="52">
        <f t="shared" ref="I9:I11" si="2">SUM(C9:H9)</f>
        <v>1791.4647272727273</v>
      </c>
      <c r="J9" s="109">
        <f t="shared" ref="J9:J22" si="3">(I9-C9)*4</f>
        <v>6827.272727272727</v>
      </c>
      <c r="K9" s="109">
        <f t="shared" si="0"/>
        <v>7165.858909090909</v>
      </c>
      <c r="L9" s="53">
        <f t="shared" ref="L9:L22" si="4">K9*1.1</f>
        <v>7882.4448000000002</v>
      </c>
      <c r="M9" s="54">
        <f>'SA Oct 2022'!BB3</f>
        <v>0</v>
      </c>
      <c r="N9" s="54">
        <f>'SA Oct 2022'!BC3</f>
        <v>0</v>
      </c>
      <c r="O9" s="54">
        <f>'SA Oct 2022'!BD3</f>
        <v>0</v>
      </c>
      <c r="P9" s="54">
        <f>'SA Oct 2022'!BE3</f>
        <v>0</v>
      </c>
      <c r="Q9" s="110" t="str">
        <f t="shared" ref="Q9:Q22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7165.858909090909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7165.858909090909</v>
      </c>
      <c r="U9" s="97">
        <f t="shared" ref="U9:V19" si="6">S9*1.1</f>
        <v>7882.4448000000002</v>
      </c>
      <c r="V9" s="98">
        <f t="shared" si="6"/>
        <v>7882.4448000000002</v>
      </c>
      <c r="W9" s="55">
        <f>'SA Oct 2022'!BL3</f>
        <v>0</v>
      </c>
      <c r="X9" s="56">
        <f>'SA Oct 2022'!BM3</f>
        <v>0</v>
      </c>
      <c r="Y9" s="361"/>
      <c r="Z9" s="361"/>
      <c r="AA9" s="361"/>
      <c r="AB9" s="361"/>
      <c r="AC9" s="361"/>
      <c r="AD9" s="361"/>
      <c r="AE9" s="361"/>
      <c r="AF9" s="361"/>
      <c r="AG9" s="361"/>
      <c r="AH9" s="361"/>
      <c r="AI9" s="361"/>
      <c r="AJ9" s="361"/>
      <c r="AK9" s="361"/>
      <c r="AL9" s="361"/>
      <c r="AM9" s="361"/>
      <c r="AN9" s="361"/>
      <c r="AO9" s="361"/>
      <c r="AP9" s="361"/>
      <c r="AQ9" s="361"/>
      <c r="AR9" s="361"/>
    </row>
    <row r="10" spans="1:44" ht="14" x14ac:dyDescent="0.15">
      <c r="A10" s="70" t="str">
        <f>'SA Oct 2022'!K4</f>
        <v>Diamond Energy</v>
      </c>
      <c r="B10" s="49" t="str">
        <f>'SA Oct 2022'!L4</f>
        <v xml:space="preserve">Renewable Saver </v>
      </c>
      <c r="C10" s="46">
        <f>IF('SA Oct 2022'!BP4=0,91*'SA Oct 2022'!M4/100,(91*'SA Oct 2022'!M4/100)+'SA Oct 2022'!BP4/4)</f>
        <v>84.629999999999981</v>
      </c>
      <c r="D10" s="46">
        <f>IF('SA Oct 2022'!O4="",$C$5*'SA Oct 2022'!N4/100,IF($C$5&gt;='SA Oct 2022'!P4,('SA Oct 2022'!P4*'SA Oct 2022'!N4/100),($C$5*'SA Oct 2022'!N4/100)))</f>
        <v>361.54545454545456</v>
      </c>
      <c r="E10" s="46">
        <f>IF(AND('SA Oct 2022'!P4&gt;0,'SA Oct 2022'!R4&gt;0),IF($C$5&lt;'SA Oct 2022'!P4,0,IF($C$5&lt;=('SA Oct 2022'!R4+'SA Oct 2022'!P4),(($C$5-'SA Oct 2022'!P4)*'SA Oct 2022'!Q4/100),(('SA Oct 2022'!R4)*'SA Oct 2022'!Q4/100))),0)</f>
        <v>0</v>
      </c>
      <c r="F10" s="46">
        <f>IF(AND('SA Oct 2022'!Q4&gt;0,'SA Oct 2022'!S4&gt;0),IF($C$5&lt;('SA Oct 2022'!R4+'SA Oct 2022'!P4),0,IF($C$5&lt;=('SA Oct 2022'!T4+'SA Oct 2022'!R4+'SA Oct 2022'!P4),(($C$5-('SA Oct 2022'!R4+'SA Oct 2022'!P4))*'SA Oct 2022'!S4/100),('SA Oct 2022'!T4*'SA Oct 2022'!S4/100))),0)</f>
        <v>0</v>
      </c>
      <c r="G10" s="50">
        <v>0</v>
      </c>
      <c r="H10" s="46">
        <f>IF(AND('SA Oct 2022'!R4&gt;0,'SA Oct 2022'!T4&gt;0),IF(($C$5&lt;'SA Oct 2022'!T4),(0),($C$5-'SA Oct 2022'!T4)*'SA Oct 2022'!U4/100),IF(AND('SA Oct 2022'!R4&gt;0,'SA Oct 2022'!T4=""),IF(($C$5&lt;'SA Oct 2022'!R4+'SA Oct 2022'!P4),(0),(($C$5-('SA Oct 2022'!R4+'SA Oct 2022'!P4))*'SA Oct 2022'!S4/100)),IF(AND('SA Oct 2022'!P4&gt;0,'SA Oct 2022'!R4=""&gt;0),IF(($C$5&lt;'SA Oct 2022'!P4),(0),($C$5-'SA Oct 2022'!P4)*'SA Oct 2022'!Q4/100),0)))</f>
        <v>1559.9999999999998</v>
      </c>
      <c r="I10" s="52">
        <f t="shared" si="2"/>
        <v>2006.1754545454544</v>
      </c>
      <c r="J10" s="109">
        <f t="shared" si="3"/>
        <v>7686.181818181818</v>
      </c>
      <c r="K10" s="109">
        <f t="shared" si="0"/>
        <v>8024.7018181818175</v>
      </c>
      <c r="L10" s="53">
        <f t="shared" si="4"/>
        <v>8827.1720000000005</v>
      </c>
      <c r="M10" s="54">
        <f>'SA Oct 2022'!BB4</f>
        <v>0</v>
      </c>
      <c r="N10" s="54">
        <f>'SA Oct 2022'!BC4</f>
        <v>0</v>
      </c>
      <c r="O10" s="54">
        <f>'SA Oct 2022'!BD4</f>
        <v>2</v>
      </c>
      <c r="P10" s="54">
        <f>'SA Oct 2022'!BE4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2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8024.7018181818175</v>
      </c>
      <c r="T10" s="112">
        <f t="shared" ref="T10:T19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7864.2077818181815</v>
      </c>
      <c r="U10" s="97">
        <f t="shared" si="6"/>
        <v>8827.1720000000005</v>
      </c>
      <c r="V10" s="98">
        <f t="shared" si="6"/>
        <v>8650.628560000001</v>
      </c>
      <c r="W10" s="55">
        <f>'SA Oct 2022'!BL4</f>
        <v>0</v>
      </c>
      <c r="X10" s="56">
        <f>'SA Oct 2022'!BM4</f>
        <v>0</v>
      </c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  <c r="AL10" s="361"/>
      <c r="AM10" s="361"/>
      <c r="AN10" s="361"/>
      <c r="AO10" s="361"/>
      <c r="AP10" s="361"/>
      <c r="AQ10" s="361"/>
      <c r="AR10" s="361"/>
    </row>
    <row r="11" spans="1:44" ht="14" x14ac:dyDescent="0.15">
      <c r="A11" s="70" t="str">
        <f>'SA Oct 2022'!K5</f>
        <v>EnergyAustralia</v>
      </c>
      <c r="B11" s="49" t="str">
        <f>'SA Oct 2022'!L5</f>
        <v>Balance Plan</v>
      </c>
      <c r="C11" s="46">
        <f>IF('SA Oct 2022'!BP5=0,91*'SA Oct 2022'!M5/100,(91*'SA Oct 2022'!M5/100)+'SA Oct 2022'!BP5/4)</f>
        <v>95.094999999999999</v>
      </c>
      <c r="D11" s="46">
        <f>IF('SA Oct 2022'!O5="",$C$5*'SA Oct 2022'!N5/100,IF($C$5&gt;='SA Oct 2022'!P5,('SA Oct 2022'!P5*'SA Oct 2022'!N5/100),($C$5*'SA Oct 2022'!N5/100)))</f>
        <v>1872.2727272727268</v>
      </c>
      <c r="E11" s="46">
        <f>IF(AND('SA Oct 2022'!P5&gt;0,'SA Oct 2022'!R5&gt;0),IF($C$5&lt;'SA Oct 2022'!P5,0,IF($C$5&lt;=('SA Oct 2022'!R5+'SA Oct 2022'!P5),(($C$5-'SA Oct 2022'!P5)*'SA Oct 2022'!Q5/100),(('SA Oct 2022'!R5)*'SA Oct 2022'!Q5/100))),0)</f>
        <v>0</v>
      </c>
      <c r="F11" s="46">
        <f>IF(AND('SA Oct 2022'!Q5&gt;0,'SA Oct 2022'!S5&gt;0),IF($C$5&lt;('SA Oct 2022'!R5+'SA Oct 2022'!P5),0,IF($C$5&lt;=('SA Oct 2022'!T5+'SA Oct 2022'!R5+'SA Oct 2022'!P5),(($C$5-('SA Oct 2022'!R5+'SA Oct 2022'!P5))*'SA Oct 2022'!S5/100),('SA Oct 2022'!T5*'SA Oct 2022'!S5/100))),0)</f>
        <v>0</v>
      </c>
      <c r="G11" s="50">
        <v>0</v>
      </c>
      <c r="H11" s="46">
        <f>IF(AND('SA Oct 2022'!R5&gt;0,'SA Oct 2022'!T5&gt;0),IF(($C$5&lt;'SA Oct 2022'!T5),(0),($C$5-'SA Oct 2022'!T5)*'SA Oct 2022'!U5/100),IF(AND('SA Oct 2022'!R5&gt;0,'SA Oct 2022'!T5=""),IF(($C$5&lt;'SA Oct 2022'!R5+'SA Oct 2022'!P5),(0),(($C$5-('SA Oct 2022'!R5+'SA Oct 2022'!P5))*'SA Oct 2022'!S5/100)),IF(AND('SA Oct 2022'!P5&gt;0,'SA Oct 2022'!R5=""&gt;0),IF(($C$5&lt;'SA Oct 2022'!P5),(0),($C$5-'SA Oct 2022'!P5)*'SA Oct 2022'!Q5/100),0)))</f>
        <v>0</v>
      </c>
      <c r="I11" s="52">
        <f t="shared" si="2"/>
        <v>1967.3677272727268</v>
      </c>
      <c r="J11" s="109">
        <f t="shared" si="3"/>
        <v>7489.0909090909072</v>
      </c>
      <c r="K11" s="109">
        <f t="shared" si="0"/>
        <v>7869.4709090909073</v>
      </c>
      <c r="L11" s="53">
        <f t="shared" si="4"/>
        <v>8656.4179999999978</v>
      </c>
      <c r="M11" s="54">
        <f>'SA Oct 2022'!BB5</f>
        <v>2</v>
      </c>
      <c r="N11" s="54">
        <f>'SA Oct 2022'!BC5</f>
        <v>0</v>
      </c>
      <c r="O11" s="54">
        <f>'SA Oct 2022'!BD5</f>
        <v>0</v>
      </c>
      <c r="P11" s="54">
        <f>'SA Oct 2022'!BE5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7712.0814909090896</v>
      </c>
      <c r="T11" s="112">
        <f t="shared" si="8"/>
        <v>7712.0814909090896</v>
      </c>
      <c r="U11" s="97">
        <f t="shared" si="6"/>
        <v>8483.2896399999991</v>
      </c>
      <c r="V11" s="98">
        <f t="shared" si="6"/>
        <v>8483.2896399999991</v>
      </c>
      <c r="W11" s="55">
        <f>'SA Oct 2022'!BL5</f>
        <v>0</v>
      </c>
      <c r="X11" s="56">
        <f>'SA Oct 2022'!BM5</f>
        <v>0</v>
      </c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</row>
    <row r="12" spans="1:44" ht="14" x14ac:dyDescent="0.15">
      <c r="A12" s="70" t="str">
        <f>'SA Oct 2022'!K6</f>
        <v>Lumo Energy</v>
      </c>
      <c r="B12" s="49" t="str">
        <f>'SA Oct 2022'!L6</f>
        <v>Basic</v>
      </c>
      <c r="C12" s="46">
        <f>IF('SA Oct 2022'!BP6=0,91*'SA Oct 2022'!M6/100,(91*'SA Oct 2022'!M6/100)+'SA Oct 2022'!BP6/4)</f>
        <v>118.3</v>
      </c>
      <c r="D12" s="46">
        <f>IF('SA Oct 2022'!O6="",$C$5*'SA Oct 2022'!N6/100,IF($C$5&gt;='SA Oct 2022'!P6,('SA Oct 2022'!P6*'SA Oct 2022'!N6/100),($C$5*'SA Oct 2022'!N6/100)))</f>
        <v>1817.7272727272727</v>
      </c>
      <c r="E12" s="46">
        <f>IF(AND('SA Oct 2022'!P6&gt;0,'SA Oct 2022'!R6&gt;0),IF($C$5&lt;'SA Oct 2022'!P6,0,IF($C$5&lt;=('SA Oct 2022'!R6+'SA Oct 2022'!P6),(($C$5-'SA Oct 2022'!P6)*'SA Oct 2022'!Q6/100),(('SA Oct 2022'!R6)*'SA Oct 2022'!Q6/100))),0)</f>
        <v>0</v>
      </c>
      <c r="F12" s="46">
        <f>IF(AND('SA Oct 2022'!Q6&gt;0,'SA Oct 2022'!S6&gt;0),IF($C$5&lt;('SA Oct 2022'!R6+'SA Oct 2022'!P6),0,IF($C$5&lt;=('SA Oct 2022'!T6+'SA Oct 2022'!R6+'SA Oct 2022'!P6),(($C$5-('SA Oct 2022'!R6+'SA Oct 2022'!P6))*'SA Oct 2022'!S6/100),('SA Oct 2022'!T6*'SA Oct 2022'!S6/100))),0)</f>
        <v>0</v>
      </c>
      <c r="G12" s="50">
        <v>1</v>
      </c>
      <c r="H12" s="46">
        <f>IF(AND('SA Oct 2022'!R6&gt;0,'SA Oct 2022'!T6&gt;0),IF(($C$5&lt;'SA Oct 2022'!T6),(0),($C$5-'SA Oct 2022'!T6)*'SA Oct 2022'!U6/100),IF(AND('SA Oct 2022'!R6&gt;0,'SA Oct 2022'!T6=""),IF(($C$5&lt;'SA Oct 2022'!R6+'SA Oct 2022'!P6),(0),(($C$5-('SA Oct 2022'!R6+'SA Oct 2022'!P6))*'SA Oct 2022'!S6/100)),IF(AND('SA Oct 2022'!P6&gt;0,'SA Oct 2022'!R6=""&gt;0),IF(($C$5&lt;'SA Oct 2022'!P6),(0),($C$5-'SA Oct 2022'!P6)*'SA Oct 2022'!Q6/100),0)))</f>
        <v>0</v>
      </c>
      <c r="I12" s="52">
        <f t="shared" ref="I12" si="9">SUM(C12:H12)</f>
        <v>1937.0272727272727</v>
      </c>
      <c r="J12" s="109">
        <f t="shared" si="3"/>
        <v>7274.909090909091</v>
      </c>
      <c r="K12" s="109">
        <f t="shared" si="0"/>
        <v>7748.1090909090908</v>
      </c>
      <c r="L12" s="53">
        <f t="shared" si="4"/>
        <v>8522.92</v>
      </c>
      <c r="M12" s="54">
        <f>'SA Oct 2022'!BB6</f>
        <v>0</v>
      </c>
      <c r="N12" s="54">
        <f>'SA Oct 2022'!BC6</f>
        <v>0</v>
      </c>
      <c r="O12" s="54">
        <f>'SA Oct 2022'!BD6</f>
        <v>0</v>
      </c>
      <c r="P12" s="54">
        <f>'SA Oct 2022'!BE6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7748.1090909090908</v>
      </c>
      <c r="T12" s="112">
        <f t="shared" si="8"/>
        <v>7748.1090909090908</v>
      </c>
      <c r="U12" s="97">
        <f t="shared" si="6"/>
        <v>8522.92</v>
      </c>
      <c r="V12" s="98">
        <f t="shared" si="6"/>
        <v>8522.92</v>
      </c>
      <c r="W12" s="55">
        <f>'SA Oct 2022'!BL6</f>
        <v>0</v>
      </c>
      <c r="X12" s="56">
        <f>'SA Oct 2022'!BM6</f>
        <v>0</v>
      </c>
      <c r="Y12" s="361"/>
      <c r="Z12" s="361"/>
      <c r="AA12" s="361"/>
      <c r="AB12" s="361"/>
      <c r="AC12" s="361"/>
      <c r="AD12" s="361"/>
      <c r="AE12" s="361"/>
      <c r="AF12" s="361"/>
      <c r="AG12" s="361"/>
      <c r="AH12" s="361"/>
      <c r="AI12" s="361"/>
      <c r="AJ12" s="361"/>
      <c r="AK12" s="361"/>
      <c r="AL12" s="361"/>
      <c r="AM12" s="361"/>
      <c r="AN12" s="361"/>
      <c r="AO12" s="361"/>
      <c r="AP12" s="361"/>
      <c r="AQ12" s="361"/>
      <c r="AR12" s="361"/>
    </row>
    <row r="13" spans="1:44" ht="14" x14ac:dyDescent="0.15">
      <c r="A13" s="70" t="str">
        <f>'SA Oct 2022'!K7</f>
        <v>Origin Energy</v>
      </c>
      <c r="B13" s="49" t="str">
        <f>'SA Oct 2022'!L7</f>
        <v>Go Variable</v>
      </c>
      <c r="C13" s="46">
        <f>IF('SA Oct 2022'!BP7=0,91*'SA Oct 2022'!M7/100,(91*'SA Oct 2022'!M7/100)+'SA Oct 2022'!BP7/4)</f>
        <v>78.673636363636348</v>
      </c>
      <c r="D13" s="46">
        <f>IF('SA Oct 2022'!O7="",$C$5*'SA Oct 2022'!N7/100,IF($C$5&gt;='SA Oct 2022'!P7,('SA Oct 2022'!P7*'SA Oct 2022'!N7/100),($C$5*'SA Oct 2022'!N7/100)))</f>
        <v>1719.090909090909</v>
      </c>
      <c r="E13" s="46">
        <f>IF(AND('SA Oct 2022'!P7&gt;0,'SA Oct 2022'!R7&gt;0),IF($C$5&lt;'SA Oct 2022'!P7,0,IF($C$5&lt;=('SA Oct 2022'!R7+'SA Oct 2022'!P7),(($C$5-'SA Oct 2022'!P7)*'SA Oct 2022'!Q7/100),(('SA Oct 2022'!R7)*'SA Oct 2022'!Q7/100))),0)</f>
        <v>0</v>
      </c>
      <c r="F13" s="46">
        <f>IF(AND('SA Oct 2022'!Q7&gt;0,'SA Oct 2022'!S7&gt;0),IF($C$5&lt;('SA Oct 2022'!R7+'SA Oct 2022'!P7),0,IF($C$5&lt;=('SA Oct 2022'!T7+'SA Oct 2022'!R7+'SA Oct 2022'!P7),(($C$5-('SA Oct 2022'!R7+'SA Oct 2022'!P7))*'SA Oct 2022'!S7/100),('SA Oct 2022'!T7*'SA Oct 2022'!S7/100))),0)</f>
        <v>0</v>
      </c>
      <c r="G13" s="50">
        <v>0</v>
      </c>
      <c r="H13" s="46">
        <f>IF(AND('SA Oct 2022'!R7&gt;0,'SA Oct 2022'!T7&gt;0),IF(($C$5&lt;'SA Oct 2022'!T7),(0),($C$5-'SA Oct 2022'!T7)*'SA Oct 2022'!U7/100),IF(AND('SA Oct 2022'!R7&gt;0,'SA Oct 2022'!T7=""),IF(($C$5&lt;'SA Oct 2022'!R7+'SA Oct 2022'!P7),(0),(($C$5-('SA Oct 2022'!R7+'SA Oct 2022'!P7))*'SA Oct 2022'!S7/100)),IF(AND('SA Oct 2022'!P7&gt;0,'SA Oct 2022'!R7=""&gt;0),IF(($C$5&lt;'SA Oct 2022'!P7),(0),($C$5-'SA Oct 2022'!P7)*'SA Oct 2022'!Q7/100),0)))</f>
        <v>0</v>
      </c>
      <c r="I13" s="52">
        <f t="shared" ref="I13:I17" si="10">SUM(C13:H13)</f>
        <v>1797.7645454545454</v>
      </c>
      <c r="J13" s="109">
        <f t="shared" si="3"/>
        <v>6876.363636363636</v>
      </c>
      <c r="K13" s="109">
        <f t="shared" si="0"/>
        <v>7191.0581818181818</v>
      </c>
      <c r="L13" s="53">
        <f t="shared" si="4"/>
        <v>7910.1640000000007</v>
      </c>
      <c r="M13" s="54">
        <f>'SA Oct 2022'!BB7</f>
        <v>0</v>
      </c>
      <c r="N13" s="54">
        <f>'SA Oct 2022'!BC7</f>
        <v>0</v>
      </c>
      <c r="O13" s="54">
        <f>'SA Oct 2022'!BD7</f>
        <v>0</v>
      </c>
      <c r="P13" s="54">
        <f>'SA Oct 2022'!BE7</f>
        <v>0</v>
      </c>
      <c r="Q13" s="110" t="str">
        <f t="shared" si="5"/>
        <v>No discount</v>
      </c>
      <c r="R13" s="73" t="str">
        <f t="shared" si="1"/>
        <v>Inclusive</v>
      </c>
      <c r="S13" s="111">
        <f t="shared" si="7"/>
        <v>7191.0581818181818</v>
      </c>
      <c r="T13" s="112">
        <f t="shared" si="8"/>
        <v>7191.0581818181818</v>
      </c>
      <c r="U13" s="97">
        <f t="shared" si="6"/>
        <v>7910.1640000000007</v>
      </c>
      <c r="V13" s="98">
        <f t="shared" si="6"/>
        <v>7910.1640000000007</v>
      </c>
      <c r="W13" s="55">
        <f>'SA Oct 2022'!BL7</f>
        <v>0</v>
      </c>
      <c r="X13" s="56">
        <f>'SA Oct 2022'!BM7</f>
        <v>0</v>
      </c>
      <c r="Y13" s="361"/>
      <c r="Z13" s="361"/>
      <c r="AA13" s="361"/>
      <c r="AB13" s="361"/>
      <c r="AC13" s="361"/>
      <c r="AD13" s="361"/>
      <c r="AE13" s="361"/>
      <c r="AF13" s="361"/>
      <c r="AG13" s="361"/>
      <c r="AH13" s="361"/>
      <c r="AI13" s="361"/>
      <c r="AJ13" s="361"/>
      <c r="AK13" s="361"/>
      <c r="AL13" s="361"/>
      <c r="AM13" s="361"/>
      <c r="AN13" s="361"/>
      <c r="AO13" s="361"/>
      <c r="AP13" s="361"/>
      <c r="AQ13" s="361"/>
      <c r="AR13" s="361"/>
    </row>
    <row r="14" spans="1:44" ht="14" x14ac:dyDescent="0.15">
      <c r="A14" s="70" t="str">
        <f>'SA Oct 2022'!K8</f>
        <v>Red Energy</v>
      </c>
      <c r="B14" s="49" t="str">
        <f>'SA Oct 2022'!L8</f>
        <v>Red Business Saver</v>
      </c>
      <c r="C14" s="46">
        <f>IF('SA Oct 2022'!BP8=0,91*'SA Oct 2022'!M8/100,(91*'SA Oct 2022'!M8/100)+'SA Oct 2022'!BP8/4)</f>
        <v>118.3</v>
      </c>
      <c r="D14" s="46">
        <f>IF('SA Oct 2022'!O8="",$C$5*'SA Oct 2022'!N8/100,IF($C$5&gt;='SA Oct 2022'!P8,('SA Oct 2022'!P8*'SA Oct 2022'!N8/100),($C$5*'SA Oct 2022'!N8/100)))</f>
        <v>1817.7272727272727</v>
      </c>
      <c r="E14" s="46">
        <f>IF(AND('SA Oct 2022'!P8&gt;0,'SA Oct 2022'!R8&gt;0),IF($C$5&lt;'SA Oct 2022'!P8,0,IF($C$5&lt;=('SA Oct 2022'!R8+'SA Oct 2022'!P8),(($C$5-'SA Oct 2022'!P8)*'SA Oct 2022'!Q8/100),(('SA Oct 2022'!R8)*'SA Oct 2022'!Q8/100))),0)</f>
        <v>0</v>
      </c>
      <c r="F14" s="46">
        <f>IF(AND('SA Oct 2022'!Q8&gt;0,'SA Oct 2022'!S8&gt;0),IF($C$5&lt;('SA Oct 2022'!R8+'SA Oct 2022'!P8),0,IF($C$5&lt;=('SA Oct 2022'!T8+'SA Oct 2022'!R8+'SA Oct 2022'!P8),(($C$5-('SA Oct 2022'!R8+'SA Oct 2022'!P8))*'SA Oct 2022'!S8/100),('SA Oct 2022'!T8*'SA Oct 2022'!S8/100))),0)</f>
        <v>0</v>
      </c>
      <c r="G14" s="50">
        <v>0</v>
      </c>
      <c r="H14" s="46">
        <f>IF(AND('SA Oct 2022'!R8&gt;0,'SA Oct 2022'!T8&gt;0),IF(($C$5&lt;'SA Oct 2022'!T8),(0),($C$5-'SA Oct 2022'!T8)*'SA Oct 2022'!U8/100),IF(AND('SA Oct 2022'!R8&gt;0,'SA Oct 2022'!T8=""),IF(($C$5&lt;'SA Oct 2022'!R8+'SA Oct 2022'!P8),(0),(($C$5-('SA Oct 2022'!R8+'SA Oct 2022'!P8))*'SA Oct 2022'!S8/100)),IF(AND('SA Oct 2022'!P8&gt;0,'SA Oct 2022'!R8=""&gt;0),IF(($C$5&lt;'SA Oct 2022'!P8),(0),($C$5-'SA Oct 2022'!P8)*'SA Oct 2022'!Q8/100),0)))</f>
        <v>0</v>
      </c>
      <c r="I14" s="52">
        <f t="shared" si="10"/>
        <v>1936.0272727272727</v>
      </c>
      <c r="J14" s="109">
        <f t="shared" si="3"/>
        <v>7270.909090909091</v>
      </c>
      <c r="K14" s="109">
        <f t="shared" si="0"/>
        <v>7744.1090909090908</v>
      </c>
      <c r="L14" s="53">
        <f t="shared" si="4"/>
        <v>8518.52</v>
      </c>
      <c r="M14" s="54">
        <f>'SA Oct 2022'!BB8</f>
        <v>0</v>
      </c>
      <c r="N14" s="54">
        <f>'SA Oct 2022'!BC8</f>
        <v>0</v>
      </c>
      <c r="O14" s="54">
        <f>'SA Oct 2022'!BD8</f>
        <v>0</v>
      </c>
      <c r="P14" s="54">
        <f>'SA Oct 2022'!BE8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7744.1090909090908</v>
      </c>
      <c r="T14" s="112">
        <f t="shared" si="8"/>
        <v>7744.1090909090908</v>
      </c>
      <c r="U14" s="97">
        <f t="shared" si="6"/>
        <v>8518.52</v>
      </c>
      <c r="V14" s="98">
        <f t="shared" si="6"/>
        <v>8518.52</v>
      </c>
      <c r="W14" s="55">
        <f>'SA Oct 2022'!BL8</f>
        <v>0</v>
      </c>
      <c r="X14" s="56">
        <f>'SA Oct 2022'!BM8</f>
        <v>0</v>
      </c>
      <c r="Y14" s="361"/>
      <c r="Z14" s="361"/>
      <c r="AA14" s="361"/>
      <c r="AB14" s="361"/>
      <c r="AC14" s="361"/>
      <c r="AD14" s="361"/>
      <c r="AE14" s="361"/>
      <c r="AF14" s="361"/>
      <c r="AG14" s="361"/>
      <c r="AH14" s="361"/>
      <c r="AI14" s="361"/>
      <c r="AJ14" s="361"/>
      <c r="AK14" s="361"/>
      <c r="AL14" s="361"/>
      <c r="AM14" s="361"/>
      <c r="AN14" s="361"/>
      <c r="AO14" s="361"/>
      <c r="AP14" s="361"/>
      <c r="AQ14" s="361"/>
      <c r="AR14" s="361"/>
    </row>
    <row r="15" spans="1:44" ht="14" x14ac:dyDescent="0.15">
      <c r="A15" s="70" t="str">
        <f>'SA Oct 2022'!K9</f>
        <v>Simply Energy</v>
      </c>
      <c r="B15" s="49" t="str">
        <f>'SA Oct 2022'!L9</f>
        <v>Business Basic</v>
      </c>
      <c r="C15" s="46">
        <f>IF('SA Oct 2022'!BP9=0,91*'SA Oct 2022'!M9/100,(91*'SA Oct 2022'!M9/100)+'SA Oct 2022'!BP9/4)</f>
        <v>93.274999999999977</v>
      </c>
      <c r="D15" s="46">
        <f>IF('SA Oct 2022'!O9="",$C$5*'SA Oct 2022'!N9/100,IF($C$5&gt;='SA Oct 2022'!P9,('SA Oct 2022'!P9*'SA Oct 2022'!N9/100),($C$5*'SA Oct 2022'!N9/100)))</f>
        <v>1433.9449090909091</v>
      </c>
      <c r="E15" s="46">
        <f>IF(AND('SA Oct 2022'!P9&gt;0,'SA Oct 2022'!R9&gt;0),IF($C$5&lt;'SA Oct 2022'!P9,0,IF($C$5&lt;=('SA Oct 2022'!R9+'SA Oct 2022'!P9),(($C$5-'SA Oct 2022'!P9)*'SA Oct 2022'!Q9/100),(('SA Oct 2022'!R9)*'SA Oct 2022'!Q9/100))),0)</f>
        <v>0</v>
      </c>
      <c r="F15" s="46">
        <f>IF(AND('SA Oct 2022'!Q9&gt;0,'SA Oct 2022'!S9&gt;0),IF($C$5&lt;('SA Oct 2022'!R9+'SA Oct 2022'!P9),0,IF($C$5&lt;=('SA Oct 2022'!T9+'SA Oct 2022'!R9+'SA Oct 2022'!P9),(($C$5-('SA Oct 2022'!R9+'SA Oct 2022'!P9))*'SA Oct 2022'!S9/100),('SA Oct 2022'!T9*'SA Oct 2022'!S9/100))),0)</f>
        <v>0</v>
      </c>
      <c r="G15" s="50">
        <v>0</v>
      </c>
      <c r="H15" s="46">
        <f>IF(AND('SA Oct 2022'!R9&gt;0,'SA Oct 2022'!T9&gt;0),IF(($C$5&lt;'SA Oct 2022'!T9),(0),($C$5-'SA Oct 2022'!T9)*'SA Oct 2022'!U9/100),IF(AND('SA Oct 2022'!R9&gt;0,'SA Oct 2022'!T9=""),IF(($C$5&lt;'SA Oct 2022'!R9+'SA Oct 2022'!P9),(0),(($C$5-('SA Oct 2022'!R9+'SA Oct 2022'!P9))*'SA Oct 2022'!S9/100)),IF(AND('SA Oct 2022'!P9&gt;0,'SA Oct 2022'!R9=""&gt;0),IF(($C$5&lt;'SA Oct 2022'!P9),(0),($C$5-'SA Oct 2022'!P9)*'SA Oct 2022'!Q9/100),0)))</f>
        <v>459.63418181818184</v>
      </c>
      <c r="I15" s="52">
        <f t="shared" si="10"/>
        <v>1986.8540909090907</v>
      </c>
      <c r="J15" s="109">
        <f t="shared" si="3"/>
        <v>7574.3163636363624</v>
      </c>
      <c r="K15" s="109">
        <f t="shared" si="0"/>
        <v>7947.4163636363628</v>
      </c>
      <c r="L15" s="53">
        <f t="shared" si="4"/>
        <v>8742.1579999999994</v>
      </c>
      <c r="M15" s="54">
        <f>'SA Oct 2022'!BB9</f>
        <v>0</v>
      </c>
      <c r="N15" s="54">
        <f>'SA Oct 2022'!BC9</f>
        <v>0</v>
      </c>
      <c r="O15" s="54">
        <f>'SA Oct 2022'!BD9</f>
        <v>0</v>
      </c>
      <c r="P15" s="54">
        <f>'SA Oct 2022'!BE9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7947.4163636363628</v>
      </c>
      <c r="T15" s="112">
        <f t="shared" si="8"/>
        <v>7947.4163636363628</v>
      </c>
      <c r="U15" s="97">
        <f t="shared" si="6"/>
        <v>8742.1579999999994</v>
      </c>
      <c r="V15" s="98">
        <f t="shared" si="6"/>
        <v>8742.1579999999994</v>
      </c>
      <c r="W15" s="55">
        <f>'SA Oct 2022'!BL9</f>
        <v>0</v>
      </c>
      <c r="X15" s="56">
        <f>'SA Oct 2022'!BM9</f>
        <v>0</v>
      </c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  <c r="AN15" s="364"/>
      <c r="AO15" s="364"/>
      <c r="AP15" s="364"/>
      <c r="AQ15" s="364"/>
      <c r="AR15" s="364"/>
    </row>
    <row r="16" spans="1:44" ht="14" x14ac:dyDescent="0.15">
      <c r="A16" s="70" t="str">
        <f>'SA Oct 2022'!K10</f>
        <v>Powershop</v>
      </c>
      <c r="B16" s="49" t="str">
        <f>'SA Oct 2022'!L10</f>
        <v>Carbon Neutral</v>
      </c>
      <c r="C16" s="46">
        <f>IF('SA Oct 2022'!BP10=0,91*'SA Oct 2022'!M10/100,(91*'SA Oct 2022'!M10/100)+'SA Oct 2022'!BP10/4)</f>
        <v>126.14254545454543</v>
      </c>
      <c r="D16" s="46">
        <f>IF('SA Oct 2022'!O10="",$C$5*'SA Oct 2022'!N10/100,IF($C$5&gt;='SA Oct 2022'!P10,('SA Oct 2022'!P10*'SA Oct 2022'!N10/100),($C$5*'SA Oct 2022'!N10/100)))</f>
        <v>1862.7272727272727</v>
      </c>
      <c r="E16" s="46">
        <f>IF(AND('SA Oct 2022'!P10&gt;0,'SA Oct 2022'!R10&gt;0),IF($C$5&lt;'SA Oct 2022'!P10,0,IF($C$5&lt;=('SA Oct 2022'!R10+'SA Oct 2022'!P10),(($C$5-'SA Oct 2022'!P10)*'SA Oct 2022'!Q10/100),(('SA Oct 2022'!R10)*'SA Oct 2022'!Q10/100))),0)</f>
        <v>0</v>
      </c>
      <c r="F16" s="46">
        <f>IF(AND('SA Oct 2022'!Q10&gt;0,'SA Oct 2022'!S10&gt;0),IF($C$5&lt;('SA Oct 2022'!R10+'SA Oct 2022'!P10),0,IF($C$5&lt;=('SA Oct 2022'!T10+'SA Oct 2022'!R10+'SA Oct 2022'!P10),(($C$5-('SA Oct 2022'!R10+'SA Oct 2022'!P10))*'SA Oct 2022'!S10/100),('SA Oct 2022'!T10*'SA Oct 2022'!S10/100))),0)</f>
        <v>0</v>
      </c>
      <c r="G16" s="50">
        <v>0</v>
      </c>
      <c r="H16" s="46">
        <f>IF(AND('SA Oct 2022'!R10&gt;0,'SA Oct 2022'!T10&gt;0),IF(($C$5&lt;'SA Oct 2022'!T10),(0),($C$5-'SA Oct 2022'!T10)*'SA Oct 2022'!U10/100),IF(AND('SA Oct 2022'!R10&gt;0,'SA Oct 2022'!T10=""),IF(($C$5&lt;'SA Oct 2022'!R10+'SA Oct 2022'!P10),(0),(($C$5-('SA Oct 2022'!R10+'SA Oct 2022'!P10))*'SA Oct 2022'!S10/100)),IF(AND('SA Oct 2022'!P10&gt;0,'SA Oct 2022'!R10=""&gt;0),IF(($C$5&lt;'SA Oct 2022'!P10),(0),($C$5-'SA Oct 2022'!P10)*'SA Oct 2022'!Q10/100),0)))</f>
        <v>0</v>
      </c>
      <c r="I16" s="52">
        <f t="shared" si="10"/>
        <v>1988.8698181818181</v>
      </c>
      <c r="J16" s="109">
        <f t="shared" si="3"/>
        <v>7450.909090909091</v>
      </c>
      <c r="K16" s="109">
        <f t="shared" si="0"/>
        <v>7955.4792727272725</v>
      </c>
      <c r="L16" s="53">
        <f t="shared" si="4"/>
        <v>8751.0272000000004</v>
      </c>
      <c r="M16" s="54">
        <f>'SA Oct 2022'!BB10</f>
        <v>0</v>
      </c>
      <c r="N16" s="54">
        <f>'SA Oct 2022'!BC10</f>
        <v>0</v>
      </c>
      <c r="O16" s="54">
        <f>'SA Oct 2022'!BD10</f>
        <v>0</v>
      </c>
      <c r="P16" s="54">
        <f>'SA Oct 2022'!BE10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7955.4792727272725</v>
      </c>
      <c r="T16" s="112">
        <f t="shared" si="8"/>
        <v>7955.4792727272725</v>
      </c>
      <c r="U16" s="97">
        <f t="shared" si="6"/>
        <v>8751.0272000000004</v>
      </c>
      <c r="V16" s="98">
        <f t="shared" si="6"/>
        <v>8751.0272000000004</v>
      </c>
      <c r="W16" s="55">
        <f>'SA Oct 2022'!BL10</f>
        <v>0</v>
      </c>
      <c r="X16" s="56">
        <f>'SA Oct 2022'!BM10</f>
        <v>0</v>
      </c>
      <c r="Y16" s="361"/>
      <c r="Z16" s="361"/>
      <c r="AA16" s="361"/>
      <c r="AB16" s="361"/>
      <c r="AC16" s="361"/>
      <c r="AD16" s="361"/>
      <c r="AE16" s="361"/>
      <c r="AF16" s="361"/>
      <c r="AG16" s="361"/>
      <c r="AH16" s="361"/>
      <c r="AI16" s="361"/>
      <c r="AJ16" s="361"/>
      <c r="AK16" s="361"/>
      <c r="AL16" s="361"/>
      <c r="AM16" s="361"/>
      <c r="AN16" s="361"/>
      <c r="AO16" s="361"/>
      <c r="AP16" s="361"/>
      <c r="AQ16" s="361"/>
      <c r="AR16" s="361"/>
    </row>
    <row r="17" spans="1:44" ht="14" x14ac:dyDescent="0.15">
      <c r="A17" s="70" t="str">
        <f>'SA Oct 2022'!K11</f>
        <v>Energy Locals</v>
      </c>
      <c r="B17" s="49" t="str">
        <f>'SA Oct 2022'!L11</f>
        <v>Business Member</v>
      </c>
      <c r="C17" s="46">
        <f>IF('SA Oct 2022'!BP11=0,91*'SA Oct 2022'!M11/100,(91*'SA Oct 2022'!M11/100)+'SA Oct 2022'!BP11/4)</f>
        <v>107.07727272727271</v>
      </c>
      <c r="D17" s="46">
        <f>IF('SA Oct 2022'!O11="",$C$5*'SA Oct 2022'!N11/100,IF($C$5&gt;='SA Oct 2022'!P11,('SA Oct 2022'!P11*'SA Oct 2022'!N11/100),($C$5*'SA Oct 2022'!N11/100)))</f>
        <v>1636.3636363636365</v>
      </c>
      <c r="E17" s="46">
        <f>IF(AND('SA Oct 2022'!P11&gt;0,'SA Oct 2022'!R11&gt;0),IF($C$5&lt;'SA Oct 2022'!P11,0,IF($C$5&lt;=('SA Oct 2022'!R11+'SA Oct 2022'!P11),(($C$5-'SA Oct 2022'!P11)*'SA Oct 2022'!Q11/100),(('SA Oct 2022'!R11)*'SA Oct 2022'!Q11/100))),0)</f>
        <v>0</v>
      </c>
      <c r="F17" s="46">
        <f>IF(AND('SA Oct 2022'!Q11&gt;0,'SA Oct 2022'!S11&gt;0),IF($C$5&lt;('SA Oct 2022'!R11+'SA Oct 2022'!P11),0,IF($C$5&lt;=('SA Oct 2022'!T11+'SA Oct 2022'!R11+'SA Oct 2022'!P11),(($C$5-('SA Oct 2022'!R11+'SA Oct 2022'!P11))*'SA Oct 2022'!S11/100),('SA Oct 2022'!T11*'SA Oct 2022'!S11/100))),0)</f>
        <v>0</v>
      </c>
      <c r="G17" s="50">
        <v>0</v>
      </c>
      <c r="H17" s="46">
        <f>IF(AND('SA Oct 2022'!R11&gt;0,'SA Oct 2022'!T11&gt;0),IF(($C$5&lt;'SA Oct 2022'!T11),(0),($C$5-'SA Oct 2022'!T11)*'SA Oct 2022'!U11/100),IF(AND('SA Oct 2022'!R11&gt;0,'SA Oct 2022'!T11=""),IF(($C$5&lt;'SA Oct 2022'!R11+'SA Oct 2022'!P11),(0),(($C$5-('SA Oct 2022'!R11+'SA Oct 2022'!P11))*'SA Oct 2022'!S11/100)),IF(AND('SA Oct 2022'!P11&gt;0,'SA Oct 2022'!R11=""&gt;0),IF(($C$5&lt;'SA Oct 2022'!P11),(0),($C$5-'SA Oct 2022'!P11)*'SA Oct 2022'!Q11/100),0)))</f>
        <v>0</v>
      </c>
      <c r="I17" s="52">
        <f t="shared" si="10"/>
        <v>1743.4409090909091</v>
      </c>
      <c r="J17" s="109">
        <f t="shared" si="3"/>
        <v>6545.454545454546</v>
      </c>
      <c r="K17" s="109">
        <f t="shared" si="0"/>
        <v>6973.7636363636366</v>
      </c>
      <c r="L17" s="53">
        <f t="shared" si="4"/>
        <v>7671.1400000000012</v>
      </c>
      <c r="M17" s="54">
        <f>'SA Oct 2022'!BB11</f>
        <v>0</v>
      </c>
      <c r="N17" s="54">
        <f>'SA Oct 2022'!BC11</f>
        <v>0</v>
      </c>
      <c r="O17" s="54">
        <f>'SA Oct 2022'!BD11</f>
        <v>0</v>
      </c>
      <c r="P17" s="54">
        <f>'SA Oct 2022'!BE11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6973.7636363636366</v>
      </c>
      <c r="T17" s="112">
        <f t="shared" si="8"/>
        <v>6973.7636363636366</v>
      </c>
      <c r="U17" s="97">
        <f t="shared" si="6"/>
        <v>7671.1400000000012</v>
      </c>
      <c r="V17" s="98">
        <f t="shared" si="6"/>
        <v>7671.1400000000012</v>
      </c>
      <c r="W17" s="55">
        <f>'SA Oct 2022'!BL11</f>
        <v>0</v>
      </c>
      <c r="X17" s="56">
        <f>'SA Oct 2022'!BM11</f>
        <v>0</v>
      </c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64"/>
      <c r="AL17" s="364"/>
      <c r="AM17" s="364"/>
      <c r="AN17" s="364"/>
      <c r="AO17" s="364"/>
      <c r="AP17" s="364"/>
      <c r="AQ17" s="364"/>
      <c r="AR17" s="364"/>
    </row>
    <row r="18" spans="1:44" ht="14" x14ac:dyDescent="0.15">
      <c r="A18" s="70" t="str">
        <f>'SA Oct 2022'!K12</f>
        <v>ReAmped Energy</v>
      </c>
      <c r="B18" s="73" t="str">
        <f>'SA Oct 2022'!L12</f>
        <v>Business</v>
      </c>
      <c r="C18" s="46">
        <f>IF('SA Oct 2022'!BP12=0,91*'SA Oct 2022'!M12/100,(91*'SA Oct 2022'!M12/100)+'SA Oct 2022'!BP12/4)</f>
        <v>125.91918181818183</v>
      </c>
      <c r="D18" s="46">
        <f>IF('SA Oct 2022'!O12="",$C$5*'SA Oct 2022'!N12/100,IF($C$5&gt;='SA Oct 2022'!P12,('SA Oct 2022'!P12*'SA Oct 2022'!N12/100),($C$5*'SA Oct 2022'!N12/100)))</f>
        <v>2025.909090909091</v>
      </c>
      <c r="E18" s="46">
        <f>IF(AND('SA Oct 2022'!P12&gt;0,'SA Oct 2022'!R12&gt;0),IF($C$5&lt;'SA Oct 2022'!P12,0,IF($C$5&lt;=('SA Oct 2022'!R12+'SA Oct 2022'!P12),(($C$5-'SA Oct 2022'!P12)*'SA Oct 2022'!Q12/100),(('SA Oct 2022'!R12)*'SA Oct 2022'!Q12/100))),0)</f>
        <v>0</v>
      </c>
      <c r="F18" s="46">
        <f>IF(AND('SA Oct 2022'!Q12&gt;0,'SA Oct 2022'!S12&gt;0),IF($C$5&lt;('SA Oct 2022'!R12+'SA Oct 2022'!P12),0,IF($C$5&lt;=('SA Oct 2022'!T12+'SA Oct 2022'!R12+'SA Oct 2022'!P12),(($C$5-('SA Oct 2022'!R12+'SA Oct 2022'!P12))*'SA Oct 2022'!S12/100),('SA Oct 2022'!T12*'SA Oct 2022'!S12/100))),0)</f>
        <v>0</v>
      </c>
      <c r="G18" s="50">
        <v>0</v>
      </c>
      <c r="H18" s="46">
        <f>IF(AND('SA Oct 2022'!R12&gt;0,'SA Oct 2022'!T12&gt;0),IF(($C$5&lt;'SA Oct 2022'!T12),(0),($C$5-'SA Oct 2022'!T12)*'SA Oct 2022'!U12/100),IF(AND('SA Oct 2022'!R12&gt;0,'SA Oct 2022'!T12=""),IF(($C$5&lt;'SA Oct 2022'!R12+'SA Oct 2022'!P12),(0),(($C$5-('SA Oct 2022'!R12+'SA Oct 2022'!P12))*'SA Oct 2022'!S12/100)),IF(AND('SA Oct 2022'!P12&gt;0,'SA Oct 2022'!R12=""&gt;0),IF(($C$5&lt;'SA Oct 2022'!P12),(0),($C$5-'SA Oct 2022'!P12)*'SA Oct 2022'!Q12/100),0)))</f>
        <v>0</v>
      </c>
      <c r="I18" s="52">
        <f t="shared" ref="I18" si="11">SUM(C18:H18)</f>
        <v>2151.8282727272726</v>
      </c>
      <c r="J18" s="111">
        <f t="shared" si="3"/>
        <v>8103.6363636363631</v>
      </c>
      <c r="K18" s="112">
        <f t="shared" si="0"/>
        <v>8607.3130909090905</v>
      </c>
      <c r="L18" s="53">
        <f t="shared" si="4"/>
        <v>9468.0444000000007</v>
      </c>
      <c r="M18" s="54">
        <f>'SA Oct 2022'!BB12</f>
        <v>0</v>
      </c>
      <c r="N18" s="54">
        <f>'SA Oct 2022'!BC12</f>
        <v>0</v>
      </c>
      <c r="O18" s="54">
        <f>'SA Oct 2022'!BD12</f>
        <v>0</v>
      </c>
      <c r="P18" s="54">
        <f>'SA Oct 2022'!BE12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8607.3130909090905</v>
      </c>
      <c r="T18" s="112">
        <f t="shared" si="8"/>
        <v>8607.3130909090905</v>
      </c>
      <c r="U18" s="97">
        <f t="shared" si="6"/>
        <v>9468.0444000000007</v>
      </c>
      <c r="V18" s="98">
        <f t="shared" si="6"/>
        <v>9468.0444000000007</v>
      </c>
      <c r="W18" s="55">
        <f>'SA Oct 2022'!BL12</f>
        <v>0</v>
      </c>
      <c r="X18" s="56">
        <f>'SA Oct 2022'!BM12</f>
        <v>0</v>
      </c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64"/>
      <c r="AL18" s="364"/>
      <c r="AM18" s="364"/>
      <c r="AN18" s="364"/>
      <c r="AO18" s="364"/>
      <c r="AP18" s="364"/>
      <c r="AQ18" s="364"/>
      <c r="AR18" s="364"/>
    </row>
    <row r="19" spans="1:44" ht="14" x14ac:dyDescent="0.15">
      <c r="A19" s="70" t="str">
        <f>'SA Oct 2022'!K13</f>
        <v>CovaU</v>
      </c>
      <c r="B19" s="73" t="str">
        <f>'SA Oct 2022'!L13</f>
        <v>Freedom</v>
      </c>
      <c r="C19" s="46">
        <f>IF('SA Oct 2022'!BP13=0,91*'SA Oct 2022'!M13/100,(91*'SA Oct 2022'!M13/100)+'SA Oct 2022'!BP13/4)</f>
        <v>90.09</v>
      </c>
      <c r="D19" s="46">
        <f>IF('SA Oct 2022'!O13="",$C$5*'SA Oct 2022'!N13/100,IF($C$5&gt;='SA Oct 2022'!P13,('SA Oct 2022'!P13*'SA Oct 2022'!N13/100),($C$5*'SA Oct 2022'!N13/100)))</f>
        <v>2544.090909090909</v>
      </c>
      <c r="E19" s="46">
        <f>IF(AND('SA Oct 2022'!P13&gt;0,'SA Oct 2022'!R13&gt;0),IF($C$5&lt;'SA Oct 2022'!P13,0,IF($C$5&lt;=('SA Oct 2022'!R13+'SA Oct 2022'!P13),(($C$5-'SA Oct 2022'!P13)*'SA Oct 2022'!Q13/100),(('SA Oct 2022'!R13)*'SA Oct 2022'!Q13/100))),0)</f>
        <v>0</v>
      </c>
      <c r="F19" s="46">
        <f>IF(AND('SA Oct 2022'!Q13&gt;0,'SA Oct 2022'!S13&gt;0),IF($C$5&lt;('SA Oct 2022'!R13+'SA Oct 2022'!P13),0,IF($C$5&lt;=('SA Oct 2022'!T13+'SA Oct 2022'!R13+'SA Oct 2022'!P13),(($C$5-('SA Oct 2022'!R13+'SA Oct 2022'!P13))*'SA Oct 2022'!S13/100),('SA Oct 2022'!T13*'SA Oct 2022'!S13/100))),0)</f>
        <v>0</v>
      </c>
      <c r="G19" s="50">
        <v>0</v>
      </c>
      <c r="H19" s="46">
        <f>IF(AND('SA Oct 2022'!R13&gt;0,'SA Oct 2022'!T13&gt;0),IF(($C$5&lt;'SA Oct 2022'!T13),(0),($C$5-'SA Oct 2022'!T13)*'SA Oct 2022'!U13/100),IF(AND('SA Oct 2022'!R13&gt;0,'SA Oct 2022'!T13=""),IF(($C$5&lt;'SA Oct 2022'!R13+'SA Oct 2022'!P13),(0),(($C$5-('SA Oct 2022'!R13+'SA Oct 2022'!P13))*'SA Oct 2022'!S13/100)),IF(AND('SA Oct 2022'!P13&gt;0,'SA Oct 2022'!R13=""&gt;0),IF(($C$5&lt;'SA Oct 2022'!P13),(0),($C$5-'SA Oct 2022'!P13)*'SA Oct 2022'!Q13/100),0)))</f>
        <v>0</v>
      </c>
      <c r="I19" s="52">
        <f t="shared" ref="I19" si="12">SUM(C19:H19)</f>
        <v>2634.1809090909092</v>
      </c>
      <c r="J19" s="111">
        <f t="shared" si="3"/>
        <v>10176.363636363636</v>
      </c>
      <c r="K19" s="112">
        <f t="shared" si="0"/>
        <v>10536.723636363637</v>
      </c>
      <c r="L19" s="53">
        <f t="shared" si="4"/>
        <v>11590.396000000001</v>
      </c>
      <c r="M19" s="54">
        <f>'SA Oct 2022'!BB13</f>
        <v>0</v>
      </c>
      <c r="N19" s="54">
        <f>'SA Oct 2022'!BC13</f>
        <v>5</v>
      </c>
      <c r="O19" s="54">
        <f>'SA Oct 2022'!BD13</f>
        <v>0</v>
      </c>
      <c r="P19" s="54">
        <f>'SA Oct 2022'!BE13</f>
        <v>0</v>
      </c>
      <c r="Q19" s="110" t="str">
        <f t="shared" si="5"/>
        <v>Guaranteed off usage</v>
      </c>
      <c r="R19" s="73" t="str">
        <f t="shared" si="1"/>
        <v>Exclusive</v>
      </c>
      <c r="S19" s="111">
        <f t="shared" si="7"/>
        <v>10027.905454545455</v>
      </c>
      <c r="T19" s="112">
        <f t="shared" si="8"/>
        <v>10027.905454545455</v>
      </c>
      <c r="U19" s="97">
        <f t="shared" si="6"/>
        <v>11030.696000000002</v>
      </c>
      <c r="V19" s="98">
        <f t="shared" si="6"/>
        <v>11030.696000000002</v>
      </c>
      <c r="W19" s="55">
        <f>'SA Oct 2022'!BL13</f>
        <v>0</v>
      </c>
      <c r="X19" s="56">
        <f>'SA Oct 2022'!BM13</f>
        <v>0</v>
      </c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64"/>
      <c r="AL19" s="364"/>
      <c r="AM19" s="364"/>
      <c r="AN19" s="364"/>
      <c r="AO19" s="364"/>
      <c r="AP19" s="364"/>
      <c r="AQ19" s="364"/>
      <c r="AR19" s="364"/>
    </row>
    <row r="20" spans="1:44" ht="14" x14ac:dyDescent="0.15">
      <c r="A20" s="70" t="str">
        <f>'SA Oct 2022'!K14</f>
        <v>Sumo Power</v>
      </c>
      <c r="B20" s="73" t="str">
        <f>'SA Oct 2022'!L14</f>
        <v>Freedom Business</v>
      </c>
      <c r="C20" s="46">
        <f>IF('SA Oct 2022'!BP14=0,91*'SA Oct 2022'!M14/100,(91*'SA Oct 2022'!M14/100)+'SA Oct 2022'!BP14/4)</f>
        <v>72.8</v>
      </c>
      <c r="D20" s="46">
        <f>IF('SA Oct 2022'!O14="",$C$5*'SA Oct 2022'!N14/100,IF($C$5&gt;='SA Oct 2022'!P14,('SA Oct 2022'!P14*'SA Oct 2022'!N14/100),($C$5*'SA Oct 2022'!N14/100)))</f>
        <v>1464.9999999999998</v>
      </c>
      <c r="E20" s="46">
        <f>IF(AND('SA Oct 2022'!P14&gt;0,'SA Oct 2022'!R14&gt;0),IF($C$5&lt;'SA Oct 2022'!P14,0,IF($C$5&lt;=('SA Oct 2022'!R14+'SA Oct 2022'!P14),(($C$5-'SA Oct 2022'!P14)*'SA Oct 2022'!Q14/100),(('SA Oct 2022'!R14)*'SA Oct 2022'!Q14/100))),0)</f>
        <v>0</v>
      </c>
      <c r="F20" s="46">
        <f>IF(AND('SA Oct 2022'!Q14&gt;0,'SA Oct 2022'!S14&gt;0),IF($C$5&lt;('SA Oct 2022'!R14+'SA Oct 2022'!P14),0,IF($C$5&lt;=('SA Oct 2022'!T14+'SA Oct 2022'!R14+'SA Oct 2022'!P14),(($C$5-('SA Oct 2022'!R14+'SA Oct 2022'!P14))*'SA Oct 2022'!S14/100),('SA Oct 2022'!T14*'SA Oct 2022'!S14/100))),0)</f>
        <v>0</v>
      </c>
      <c r="G20" s="50">
        <v>0</v>
      </c>
      <c r="H20" s="46">
        <f>IF(AND('SA Oct 2022'!R14&gt;0,'SA Oct 2022'!T14&gt;0),IF(($C$5&lt;'SA Oct 2022'!T14),(0),($C$5-'SA Oct 2022'!T14)*'SA Oct 2022'!U14/100),IF(AND('SA Oct 2022'!R14&gt;0,'SA Oct 2022'!T14=""),IF(($C$5&lt;'SA Oct 2022'!R14+'SA Oct 2022'!P14),(0),(($C$5-('SA Oct 2022'!R14+'SA Oct 2022'!P14))*'SA Oct 2022'!S14/100)),IF(AND('SA Oct 2022'!P14&gt;0,'SA Oct 2022'!R14=""&gt;0),IF(($C$5&lt;'SA Oct 2022'!P14),(0),($C$5-'SA Oct 2022'!P14)*'SA Oct 2022'!Q14/100),0)))</f>
        <v>0</v>
      </c>
      <c r="I20" s="52">
        <f t="shared" ref="I20:I21" si="13">SUM(C20:H20)</f>
        <v>1537.7999999999997</v>
      </c>
      <c r="J20" s="111">
        <f t="shared" si="3"/>
        <v>5859.9999999999991</v>
      </c>
      <c r="K20" s="112">
        <f t="shared" si="0"/>
        <v>6151.1999999999989</v>
      </c>
      <c r="L20" s="53">
        <f t="shared" si="4"/>
        <v>6766.32</v>
      </c>
      <c r="M20" s="54">
        <f>'SA Oct 2022'!BB14</f>
        <v>0</v>
      </c>
      <c r="N20" s="54">
        <f>'SA Oct 2022'!BC14</f>
        <v>0</v>
      </c>
      <c r="O20" s="54">
        <f>'SA Oct 2022'!BD14</f>
        <v>0</v>
      </c>
      <c r="P20" s="54">
        <f>'SA Oct 2022'!BE14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6151.1999999999989</v>
      </c>
      <c r="T20" s="112">
        <f t="shared" ref="T20:T22" si="14">S20-(S20*O20/100)</f>
        <v>6151.1999999999989</v>
      </c>
      <c r="U20" s="97">
        <f t="shared" ref="U20:V22" si="15">S20*1.1</f>
        <v>6766.32</v>
      </c>
      <c r="V20" s="98">
        <f t="shared" si="15"/>
        <v>6766.32</v>
      </c>
      <c r="W20" s="55">
        <f>'SA Oct 2022'!BL14</f>
        <v>0</v>
      </c>
      <c r="X20" s="56">
        <f>'SA Oct 2022'!BM14</f>
        <v>0</v>
      </c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64"/>
      <c r="AL20" s="364"/>
      <c r="AM20" s="364"/>
      <c r="AN20" s="364"/>
      <c r="AO20" s="364"/>
      <c r="AP20" s="364"/>
      <c r="AQ20" s="364"/>
      <c r="AR20" s="364"/>
    </row>
    <row r="21" spans="1:44" ht="14" x14ac:dyDescent="0.15">
      <c r="A21" s="70" t="str">
        <f>'SA Oct 2022'!K15</f>
        <v>Amber Electric</v>
      </c>
      <c r="B21" s="73" t="str">
        <f>'SA Oct 2022'!L15</f>
        <v>Small Business</v>
      </c>
      <c r="C21" s="46">
        <f>IF('SA Oct 2022'!BP15=0,91*'SA Oct 2022'!M15/100,(91*'SA Oct 2022'!M15/100)+'SA Oct 2022'!BP15/4)</f>
        <v>144.26854545454546</v>
      </c>
      <c r="D21" s="46">
        <f>IF('SA Oct 2022'!O15="",$C$5*'SA Oct 2022'!N15/100,IF($C$5&gt;='SA Oct 2022'!P15,('SA Oct 2022'!P15*'SA Oct 2022'!N15/100),($C$5*'SA Oct 2022'!N15/100)))</f>
        <v>976.60290000000009</v>
      </c>
      <c r="E21" s="46">
        <f>IF(AND('SA Oct 2022'!P15&gt;0,'SA Oct 2022'!R15&gt;0),IF($C$5&lt;'SA Oct 2022'!P15,0,IF($C$5&lt;=('SA Oct 2022'!R15+'SA Oct 2022'!P15),(($C$5-'SA Oct 2022'!P15)*'SA Oct 2022'!Q15/100),(('SA Oct 2022'!R15)*'SA Oct 2022'!Q15/100))),0)</f>
        <v>0</v>
      </c>
      <c r="F21" s="46">
        <f>IF(AND('SA Oct 2022'!Q15&gt;0,'SA Oct 2022'!S15&gt;0),IF($C$5&lt;('SA Oct 2022'!R15+'SA Oct 2022'!P15),0,IF($C$5&lt;=('SA Oct 2022'!T15+'SA Oct 2022'!R15+'SA Oct 2022'!P15),(($C$5-('SA Oct 2022'!R15+'SA Oct 2022'!P15))*'SA Oct 2022'!S15/100),('SA Oct 2022'!T15*'SA Oct 2022'!S15/100))),0)</f>
        <v>0</v>
      </c>
      <c r="G21" s="50">
        <v>0</v>
      </c>
      <c r="H21" s="46">
        <f>IF(AND('SA Oct 2022'!R15&gt;0,'SA Oct 2022'!T15&gt;0),IF(($C$5&lt;'SA Oct 2022'!T15),(0),($C$5-'SA Oct 2022'!T15)*'SA Oct 2022'!U15/100),IF(AND('SA Oct 2022'!R15&gt;0,'SA Oct 2022'!T15=""),IF(($C$5&lt;'SA Oct 2022'!R15+'SA Oct 2022'!P15),(0),(($C$5-('SA Oct 2022'!R15+'SA Oct 2022'!P15))*'SA Oct 2022'!S15/100)),IF(AND('SA Oct 2022'!P15&gt;0,'SA Oct 2022'!R15=""&gt;0),IF(($C$5&lt;'SA Oct 2022'!P15),(0),($C$5-'SA Oct 2022'!P15)*'SA Oct 2022'!Q15/100),0)))</f>
        <v>1158.0137090909088</v>
      </c>
      <c r="I21" s="52">
        <f t="shared" si="13"/>
        <v>2278.8851545454545</v>
      </c>
      <c r="J21" s="111">
        <f t="shared" si="3"/>
        <v>8538.4664363636366</v>
      </c>
      <c r="K21" s="112">
        <f t="shared" si="0"/>
        <v>9115.540618181818</v>
      </c>
      <c r="L21" s="53">
        <f t="shared" si="4"/>
        <v>10027.09468</v>
      </c>
      <c r="M21" s="54">
        <f>'SA Oct 2022'!BB15</f>
        <v>0</v>
      </c>
      <c r="N21" s="54">
        <f>'SA Oct 2022'!BC15</f>
        <v>0</v>
      </c>
      <c r="O21" s="54">
        <f>'SA Oct 2022'!BD15</f>
        <v>0</v>
      </c>
      <c r="P21" s="54">
        <f>'SA Oct 2022'!BE15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9115.540618181818</v>
      </c>
      <c r="T21" s="112">
        <f t="shared" si="14"/>
        <v>9115.540618181818</v>
      </c>
      <c r="U21" s="97">
        <f t="shared" si="15"/>
        <v>10027.09468</v>
      </c>
      <c r="V21" s="98">
        <f t="shared" si="15"/>
        <v>10027.09468</v>
      </c>
      <c r="W21" s="55">
        <f>'SA Oct 2022'!BL15</f>
        <v>0</v>
      </c>
      <c r="X21" s="56">
        <f>'SA Oct 2022'!BM15</f>
        <v>0</v>
      </c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</row>
    <row r="22" spans="1:44" ht="14" x14ac:dyDescent="0.15">
      <c r="A22" s="70" t="str">
        <f>'SA Oct 2022'!K16</f>
        <v>Circular Energy</v>
      </c>
      <c r="B22" s="73" t="str">
        <f>'SA Oct 2022'!L16</f>
        <v>Zero Member Fee Business</v>
      </c>
      <c r="C22" s="46">
        <f>IF('SA Oct 2022'!BP16=0,91*'SA Oct 2022'!M16/100,(91*'SA Oct 2022'!M16/100)+'SA Oct 2022'!BP16/4)</f>
        <v>124.3390909090909</v>
      </c>
      <c r="D22" s="46">
        <f>IF('SA Oct 2022'!O16="",$C$5*'SA Oct 2022'!N16/100,IF($C$5&gt;='SA Oct 2022'!P16,('SA Oct 2022'!P16*'SA Oct 2022'!N16/100),($C$5*'SA Oct 2022'!N16/100)))</f>
        <v>1813.6363636363633</v>
      </c>
      <c r="E22" s="46">
        <f>IF(AND('SA Oct 2022'!P16&gt;0,'SA Oct 2022'!R16&gt;0),IF($C$5&lt;'SA Oct 2022'!P16,0,IF($C$5&lt;=('SA Oct 2022'!R16+'SA Oct 2022'!P16),(($C$5-'SA Oct 2022'!P16)*'SA Oct 2022'!Q16/100),(('SA Oct 2022'!R16)*'SA Oct 2022'!Q16/100))),0)</f>
        <v>0</v>
      </c>
      <c r="F22" s="46">
        <f>IF(AND('SA Oct 2022'!Q16&gt;0,'SA Oct 2022'!S16&gt;0),IF($C$5&lt;('SA Oct 2022'!R16+'SA Oct 2022'!P16),0,IF($C$5&lt;=('SA Oct 2022'!T16+'SA Oct 2022'!R16+'SA Oct 2022'!P16),(($C$5-('SA Oct 2022'!R16+'SA Oct 2022'!P16))*'SA Oct 2022'!S16/100),('SA Oct 2022'!T16*'SA Oct 2022'!S16/100))),0)</f>
        <v>0</v>
      </c>
      <c r="G22" s="50">
        <v>1</v>
      </c>
      <c r="H22" s="46">
        <f>IF(AND('SA Oct 2022'!R16&gt;0,'SA Oct 2022'!T16&gt;0),IF(($C$5&lt;'SA Oct 2022'!T16),(0),($C$5-'SA Oct 2022'!T16)*'SA Oct 2022'!U16/100),IF(AND('SA Oct 2022'!R16&gt;0,'SA Oct 2022'!T16=""),IF(($C$5&lt;'SA Oct 2022'!R16+'SA Oct 2022'!P16),(0),(($C$5-('SA Oct 2022'!R16+'SA Oct 2022'!P16))*'SA Oct 2022'!S16/100)),IF(AND('SA Oct 2022'!P16&gt;0,'SA Oct 2022'!R16=""&gt;0),IF(($C$5&lt;'SA Oct 2022'!P16),(0),($C$5-'SA Oct 2022'!P16)*'SA Oct 2022'!Q16/100),0)))</f>
        <v>0</v>
      </c>
      <c r="I22" s="52">
        <f t="shared" ref="I22" si="16">SUM(C22:H22)</f>
        <v>1938.9754545454541</v>
      </c>
      <c r="J22" s="111">
        <f t="shared" si="3"/>
        <v>7258.5454545454531</v>
      </c>
      <c r="K22" s="112">
        <f t="shared" si="0"/>
        <v>7755.9018181818165</v>
      </c>
      <c r="L22" s="53">
        <f t="shared" si="4"/>
        <v>8531.4919999999984</v>
      </c>
      <c r="M22" s="54">
        <f>'SA Oct 2022'!BB16</f>
        <v>0</v>
      </c>
      <c r="N22" s="54">
        <f>'SA Oct 2022'!BC16</f>
        <v>0</v>
      </c>
      <c r="O22" s="54">
        <f>'SA Oct 2022'!BD16</f>
        <v>0</v>
      </c>
      <c r="P22" s="54">
        <f>'SA Oct 2022'!BE16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7755.9018181818165</v>
      </c>
      <c r="T22" s="112">
        <f t="shared" si="14"/>
        <v>7755.9018181818165</v>
      </c>
      <c r="U22" s="97">
        <f t="shared" si="15"/>
        <v>8531.4919999999984</v>
      </c>
      <c r="V22" s="98">
        <f t="shared" si="15"/>
        <v>8531.4919999999984</v>
      </c>
      <c r="W22" s="55">
        <f>'SA Oct 2022'!BL16</f>
        <v>0</v>
      </c>
      <c r="X22" s="56">
        <f>'SA Oct 2022'!BM16</f>
        <v>0</v>
      </c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64"/>
      <c r="AL22" s="364"/>
      <c r="AM22" s="364"/>
      <c r="AN22" s="364"/>
      <c r="AO22" s="364"/>
      <c r="AP22" s="364"/>
      <c r="AQ22" s="364"/>
      <c r="AR22" s="364"/>
    </row>
    <row r="23" spans="1:44" ht="14" x14ac:dyDescent="0.15">
      <c r="A23" s="361"/>
      <c r="B23" s="361"/>
      <c r="C23" s="361"/>
      <c r="D23" s="361"/>
      <c r="E23" s="361"/>
      <c r="F23" s="361"/>
      <c r="G23" s="362"/>
      <c r="H23" s="362"/>
      <c r="I23" s="363"/>
      <c r="J23" s="363"/>
      <c r="K23" s="361"/>
      <c r="L23" s="361"/>
      <c r="M23" s="361"/>
      <c r="N23" s="361"/>
      <c r="O23" s="361"/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Z23" s="361"/>
      <c r="AA23" s="361"/>
      <c r="AB23" s="361"/>
      <c r="AC23" s="361"/>
      <c r="AD23" s="361"/>
      <c r="AE23" s="361"/>
      <c r="AF23" s="361"/>
      <c r="AG23" s="361"/>
      <c r="AH23" s="361"/>
      <c r="AI23" s="361"/>
      <c r="AJ23" s="361"/>
      <c r="AK23" s="361"/>
      <c r="AL23" s="361"/>
      <c r="AM23" s="361"/>
      <c r="AN23" s="361"/>
      <c r="AO23" s="361"/>
      <c r="AP23" s="361"/>
      <c r="AQ23" s="361"/>
      <c r="AR23" s="361"/>
    </row>
    <row r="24" spans="1:44" ht="15" thickBot="1" x14ac:dyDescent="0.2">
      <c r="A24" s="361"/>
      <c r="B24" s="361"/>
      <c r="C24" s="361"/>
      <c r="D24" s="362"/>
      <c r="E24" s="362"/>
      <c r="F24" s="362"/>
      <c r="G24" s="362"/>
      <c r="H24" s="362"/>
      <c r="I24" s="363"/>
      <c r="J24" s="363"/>
      <c r="K24" s="361"/>
      <c r="L24" s="361"/>
      <c r="M24" s="361"/>
      <c r="N24" s="361"/>
      <c r="O24" s="361"/>
      <c r="P24" s="361"/>
      <c r="Q24" s="361"/>
      <c r="R24" s="361"/>
      <c r="S24" s="361"/>
      <c r="T24" s="361"/>
      <c r="U24" s="361"/>
      <c r="V24" s="361"/>
      <c r="W24" s="361"/>
      <c r="X24" s="361"/>
      <c r="Y24" s="361"/>
      <c r="Z24" s="361"/>
      <c r="AA24" s="361"/>
      <c r="AB24" s="361"/>
      <c r="AC24" s="361"/>
      <c r="AD24" s="361"/>
      <c r="AE24" s="361"/>
      <c r="AF24" s="361"/>
      <c r="AG24" s="361"/>
      <c r="AH24" s="361"/>
      <c r="AI24" s="361"/>
      <c r="AJ24" s="361"/>
      <c r="AK24" s="361"/>
      <c r="AL24" s="361"/>
      <c r="AM24" s="361"/>
      <c r="AN24" s="361"/>
      <c r="AO24" s="361"/>
      <c r="AP24" s="361"/>
      <c r="AQ24" s="361"/>
      <c r="AR24" s="361"/>
    </row>
    <row r="25" spans="1:44" ht="14" x14ac:dyDescent="0.15">
      <c r="A25" s="36" t="s">
        <v>84</v>
      </c>
      <c r="B25" s="37"/>
      <c r="C25" s="37"/>
      <c r="D25" s="42"/>
      <c r="E25" s="42"/>
      <c r="F25" s="42"/>
      <c r="G25" s="42"/>
      <c r="H25" s="42"/>
      <c r="I25" s="43"/>
      <c r="J25" s="43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9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</row>
    <row r="26" spans="1:44" ht="14" x14ac:dyDescent="0.15">
      <c r="A26" s="40" t="s">
        <v>197</v>
      </c>
      <c r="B26" s="38"/>
      <c r="C26" s="47">
        <v>5000</v>
      </c>
      <c r="D26" s="44"/>
      <c r="E26" s="44"/>
      <c r="F26" s="44"/>
      <c r="G26" s="44"/>
      <c r="H26" s="44"/>
      <c r="I26" s="45"/>
      <c r="J26" s="45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4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  <c r="AL26" s="361"/>
      <c r="AM26" s="361"/>
      <c r="AN26" s="361"/>
      <c r="AO26" s="361"/>
      <c r="AP26" s="361"/>
      <c r="AQ26" s="361"/>
      <c r="AR26" s="361"/>
    </row>
    <row r="27" spans="1:44" ht="14" x14ac:dyDescent="0.15">
      <c r="A27" s="40" t="s">
        <v>85</v>
      </c>
      <c r="B27" s="38"/>
      <c r="C27" s="48">
        <v>0.7</v>
      </c>
      <c r="D27" s="44"/>
      <c r="E27" s="44"/>
      <c r="F27" s="44"/>
      <c r="G27" s="44"/>
      <c r="H27" s="44"/>
      <c r="I27" s="45"/>
      <c r="J27" s="45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41"/>
      <c r="Y27" s="361"/>
      <c r="Z27" s="361"/>
      <c r="AA27" s="361"/>
      <c r="AB27" s="361"/>
      <c r="AC27" s="361"/>
      <c r="AD27" s="361"/>
      <c r="AE27" s="361"/>
      <c r="AF27" s="361"/>
      <c r="AG27" s="361"/>
      <c r="AH27" s="361"/>
      <c r="AI27" s="361"/>
      <c r="AJ27" s="361"/>
      <c r="AK27" s="361"/>
      <c r="AL27" s="361"/>
      <c r="AM27" s="361"/>
      <c r="AN27" s="361"/>
      <c r="AO27" s="361"/>
      <c r="AP27" s="361"/>
      <c r="AQ27" s="361"/>
      <c r="AR27" s="361"/>
    </row>
    <row r="28" spans="1:44" ht="14" x14ac:dyDescent="0.15">
      <c r="A28" s="40" t="s">
        <v>171</v>
      </c>
      <c r="B28" s="38"/>
      <c r="C28" s="48">
        <v>0.3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41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64"/>
      <c r="AL28" s="364"/>
      <c r="AM28" s="364"/>
      <c r="AN28" s="364"/>
      <c r="AO28" s="364"/>
      <c r="AP28" s="364"/>
      <c r="AQ28" s="364"/>
      <c r="AR28" s="364"/>
    </row>
    <row r="29" spans="1:44" ht="14" x14ac:dyDescent="0.15">
      <c r="A29" s="4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88"/>
      <c r="S29" s="88"/>
      <c r="T29" s="88"/>
      <c r="U29" s="88"/>
      <c r="V29" s="38"/>
      <c r="W29" s="38"/>
      <c r="X29" s="41"/>
      <c r="Y29" s="361"/>
      <c r="Z29" s="361"/>
      <c r="AA29" s="361"/>
      <c r="AB29" s="361"/>
      <c r="AC29" s="361"/>
      <c r="AD29" s="361"/>
      <c r="AE29" s="361"/>
      <c r="AF29" s="361"/>
      <c r="AG29" s="361"/>
      <c r="AH29" s="361"/>
      <c r="AI29" s="361"/>
      <c r="AJ29" s="361"/>
      <c r="AK29" s="361"/>
      <c r="AL29" s="361"/>
      <c r="AM29" s="361"/>
      <c r="AN29" s="361"/>
      <c r="AO29" s="361"/>
      <c r="AP29" s="361"/>
      <c r="AQ29" s="361"/>
      <c r="AR29" s="361"/>
    </row>
    <row r="30" spans="1:44" ht="75" x14ac:dyDescent="0.15">
      <c r="A30" s="317" t="s">
        <v>216</v>
      </c>
      <c r="B30" s="272" t="s">
        <v>198</v>
      </c>
      <c r="C30" s="274" t="s">
        <v>199</v>
      </c>
      <c r="D30" s="274" t="s">
        <v>200</v>
      </c>
      <c r="E30" s="274" t="s">
        <v>201</v>
      </c>
      <c r="F30" s="274" t="s">
        <v>164</v>
      </c>
      <c r="G30" s="274" t="s">
        <v>84</v>
      </c>
      <c r="H30" s="274" t="s">
        <v>233</v>
      </c>
      <c r="I30" s="274" t="s">
        <v>165</v>
      </c>
      <c r="J30" s="275" t="s">
        <v>544</v>
      </c>
      <c r="K30" s="276" t="s">
        <v>166</v>
      </c>
      <c r="L30" s="277" t="s">
        <v>545</v>
      </c>
      <c r="M30" s="278" t="s">
        <v>167</v>
      </c>
      <c r="N30" s="278" t="s">
        <v>168</v>
      </c>
      <c r="O30" s="278" t="s">
        <v>169</v>
      </c>
      <c r="P30" s="278" t="s">
        <v>170</v>
      </c>
      <c r="Q30" s="279" t="s">
        <v>541</v>
      </c>
      <c r="R30" s="279" t="s">
        <v>542</v>
      </c>
      <c r="S30" s="280" t="s">
        <v>546</v>
      </c>
      <c r="T30" s="280" t="s">
        <v>547</v>
      </c>
      <c r="U30" s="281" t="s">
        <v>227</v>
      </c>
      <c r="V30" s="281" t="s">
        <v>272</v>
      </c>
      <c r="W30" s="278" t="s">
        <v>82</v>
      </c>
      <c r="X30" s="282" t="s">
        <v>83</v>
      </c>
      <c r="Y30" s="361"/>
      <c r="Z30" s="361"/>
      <c r="AA30" s="361"/>
      <c r="AB30" s="361"/>
      <c r="AC30" s="361"/>
      <c r="AD30" s="361"/>
      <c r="AE30" s="361"/>
      <c r="AF30" s="361"/>
      <c r="AG30" s="361"/>
      <c r="AH30" s="361"/>
      <c r="AI30" s="361"/>
      <c r="AJ30" s="361"/>
      <c r="AK30" s="361"/>
      <c r="AL30" s="361"/>
      <c r="AM30" s="361"/>
      <c r="AN30" s="361"/>
      <c r="AO30" s="361"/>
      <c r="AP30" s="361"/>
      <c r="AQ30" s="361"/>
      <c r="AR30" s="361"/>
    </row>
    <row r="31" spans="1:44" ht="14" x14ac:dyDescent="0.15">
      <c r="A31" s="70" t="str">
        <f>'SA Oct 2022'!K17</f>
        <v>AGL</v>
      </c>
      <c r="B31" s="49" t="str">
        <f>'SA Oct 2022'!L17</f>
        <v>Value Saver</v>
      </c>
      <c r="C31" s="46">
        <f>IF('SA Oct 2022'!BP17=0,91*'SA Oct 2022'!M17/100,(91*'SA Oct 2022'!M17/100)+'SA Oct 2022'!BP17/4)</f>
        <v>90.511909090909086</v>
      </c>
      <c r="D31" s="46">
        <f>IF('SA Oct 2022'!O17="",$C$26*$C$27*'SA Oct 2022'!N17/100,IF($C$26*$C$27&gt;='SA Oct 2022'!P17,('SA Oct 2022'!P17*'SA Oct 2022'!N17/100),($C$26*$C$27*'SA Oct 2022'!N17/100)))</f>
        <v>1201.1363636363633</v>
      </c>
      <c r="E31" s="46">
        <f>IF(AND('SA Oct 2022'!P17&gt;0,'SA Oct 2022'!R17&gt;0),IF($C$26*$C$27&lt;'SA Oct 2022'!P17,0,IF($C$26*$C$27&lt;=('SA Oct 2022'!R17+'SA Oct 2022'!P17),(($C$26*$C$27-'SA Oct 2022'!P17)*'SA Oct 2022'!Q17/100),(('SA Oct 2022'!R17)*'SA Oct 2022'!Q17/100))),0)</f>
        <v>0</v>
      </c>
      <c r="F31" s="46">
        <f>IF(AND('SA Oct 2022'!R17&gt;0,'SA Oct 2022'!T17&gt;0),IF(($C$26*$C$27&lt;'SA Oct 2022'!T17),(0),($C$26*$C$27-'SA Oct 2022'!T17)*'SA Oct 2022'!U17/100),IF(AND('SA Oct 2022'!R17&gt;0,'SA Oct 2022'!T17=""),IF(($C$26*$C$27&lt;'SA Oct 2022'!R17+'SA Oct 2022'!P17),(0),(($C$26*$C$27-('SA Oct 2022'!R17+'SA Oct 2022'!P17))*'SA Oct 2022'!S17/100)),IF(AND('SA Oct 2022'!P17&gt;0,'SA Oct 2022'!R17=""&gt;0),IF(($C$26*$C$27&lt;'SA Oct 2022'!P17),(0),($C$26*$C$27-'SA Oct 2022'!P17)*'SA Oct 2022'!Q17/100),0)))</f>
        <v>0</v>
      </c>
      <c r="G31" s="50">
        <f>($C$26*$C$28)*'SA Oct 2022'!AF17/100</f>
        <v>252</v>
      </c>
      <c r="H31" s="51">
        <v>0</v>
      </c>
      <c r="I31" s="52">
        <f t="shared" ref="I31:I44" si="17">SUM(C31:G31)</f>
        <v>1543.6482727272723</v>
      </c>
      <c r="J31" s="109">
        <f>(I31-C31)*4</f>
        <v>5812.5454545454531</v>
      </c>
      <c r="K31" s="109">
        <f t="shared" ref="K31:K44" si="18">I31*4</f>
        <v>6174.5930909090894</v>
      </c>
      <c r="L31" s="53">
        <f t="shared" ref="L31:L44" si="19">K31*1.1</f>
        <v>6792.0523999999987</v>
      </c>
      <c r="M31" s="54">
        <f>'SA Oct 2022'!BB17</f>
        <v>0</v>
      </c>
      <c r="N31" s="54">
        <f>'SA Oct 2022'!BC17</f>
        <v>0</v>
      </c>
      <c r="O31" s="54">
        <f>'SA Oct 2022'!BD17</f>
        <v>0</v>
      </c>
      <c r="P31" s="54">
        <f>'SA Oct 2022'!BE17</f>
        <v>0</v>
      </c>
      <c r="Q31" s="110" t="str">
        <f t="shared" ref="Q31:Q35" si="20">IF(SUM(M31:P31)=0,"No discount",IF(M31&gt;0,"Guaranteed off bill",IF(N31&gt;0,"Guaranteed off usage",IF(O31&gt;0,"Pay-on-time off bill","Pay-on-time off usage"))))</f>
        <v>No discount</v>
      </c>
      <c r="R31" s="73" t="str">
        <f t="shared" ref="R31:R44" si="21">IF(OR(A31="Origin Energy",A31="Red Energy",A31="Powershop"),"Inclusive","Exclusive")</f>
        <v>Exclusive</v>
      </c>
      <c r="S31" s="111">
        <f>IF(AND(Q31="Guaranteed off bill",R31="Inclusive"),((K31*1.1)-((K31*1.1)*M31/100))/1.1,IF(AND(Q31="Guaranteed off usage",R31="Inclusive"),((K31*1.1)-((J31*1.1)*N31/100))/1.1,IF(AND(Q31="Guaranteed off bill",R31="Exclusive"),K31-(K31*M31/100),IF(AND(Q31="Guaranteed off usage",R31="Exclusive"),K31-(J31*N31/100),IF(R31="Inclusive",((K31*1.1))/1.1,K31)))))</f>
        <v>6174.5930909090894</v>
      </c>
      <c r="T31" s="112">
        <f>IF(AND(Q31="Pay-on-time off bill",R31="Inclusive"),((S31*1.1)-((S31*1.1)*O31/100))/1.1,IF(AND(Q31="Pay-on-time off usage",R31="Inclusive"),((S31*1.1)-((J31*1.1)*P31/100))/1.1,IF(AND(Q31="Pay-on-time off bill",R31="Exclusive"),S31-(S31*O31/100),IF(AND(Q31="Pay-on-time off usage",R31="Exclusive"),S31-(J31*P31/100),IF(R31="Inclusive",((S31*1.1))/1.1,S31)))))</f>
        <v>6174.5930909090894</v>
      </c>
      <c r="U31" s="97">
        <f>S31*1.1</f>
        <v>6792.0523999999987</v>
      </c>
      <c r="V31" s="98">
        <f>T31*1.1</f>
        <v>6792.0523999999987</v>
      </c>
      <c r="W31" s="55">
        <f>'SA Oct 2022'!BL17</f>
        <v>12</v>
      </c>
      <c r="X31" s="56">
        <f>'SA Oct 2022'!BM17</f>
        <v>0</v>
      </c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64"/>
      <c r="AL31" s="364"/>
      <c r="AM31" s="364"/>
      <c r="AN31" s="364"/>
      <c r="AO31" s="364"/>
      <c r="AP31" s="364"/>
      <c r="AQ31" s="364"/>
      <c r="AR31" s="364"/>
    </row>
    <row r="32" spans="1:44" ht="14" x14ac:dyDescent="0.15">
      <c r="A32" s="70" t="str">
        <f>'SA Oct 2022'!K18</f>
        <v>Alinta Energy</v>
      </c>
      <c r="B32" s="49" t="str">
        <f>'SA Oct 2022'!L18</f>
        <v>BusinessDeal</v>
      </c>
      <c r="C32" s="46">
        <f>IF('SA Oct 2022'!BP18=0,91*'SA Oct 2022'!M18/100,(91*'SA Oct 2022'!M18/100)+'SA Oct 2022'!BP18/4)</f>
        <v>84.646545454545446</v>
      </c>
      <c r="D32" s="46">
        <f>IF('SA Oct 2022'!O18="",$C$26*$C$27*'SA Oct 2022'!N18/100,IF($C$26*$C$27&gt;='SA Oct 2022'!P18,('SA Oct 2022'!P18*'SA Oct 2022'!N18/100),($C$26*$C$27*'SA Oct 2022'!N18/100)))</f>
        <v>1194.7727272727273</v>
      </c>
      <c r="E32" s="46">
        <f>IF(AND('SA Oct 2022'!P18&gt;0,'SA Oct 2022'!R18&gt;0),IF($C$26*$C$27&lt;'SA Oct 2022'!P18,0,IF($C$26*$C$27&lt;=('SA Oct 2022'!R18+'SA Oct 2022'!P18),(($C$26*$C$27-'SA Oct 2022'!P18)*'SA Oct 2022'!Q18/100),(('SA Oct 2022'!R18)*'SA Oct 2022'!Q18/100))),0)</f>
        <v>0</v>
      </c>
      <c r="F32" s="46">
        <f>IF(AND('SA Oct 2022'!R18&gt;0,'SA Oct 2022'!T18&gt;0),IF(($C$26*$C$27&lt;'SA Oct 2022'!T18),(0),($C$26*$C$27-'SA Oct 2022'!T18)*'SA Oct 2022'!U18/100),IF(AND('SA Oct 2022'!R18&gt;0,'SA Oct 2022'!T18=""),IF(($C$26*$C$27&lt;'SA Oct 2022'!R18+'SA Oct 2022'!P18),(0),(($C$26*$C$27-('SA Oct 2022'!R18+'SA Oct 2022'!P18))*'SA Oct 2022'!S18/100)),IF(AND('SA Oct 2022'!P18&gt;0,'SA Oct 2022'!R18=""&gt;0),IF(($C$26*$C$27&lt;'SA Oct 2022'!P18),(0),($C$26*$C$27-'SA Oct 2022'!P18)*'SA Oct 2022'!Q18/100),0)))</f>
        <v>0</v>
      </c>
      <c r="G32" s="50">
        <f>($C$26*$C$28)*'SA Oct 2022'!AF18/100</f>
        <v>250.90909090909085</v>
      </c>
      <c r="H32" s="51">
        <f>IF($C$26*$C$28&lt;'SA Oct 2022'!AG18,(0),((('SA Bills October 2022'!$C$26*'SA Bills October 2022'!$C$28)-('SA Oct 2022'!AG18))*'SA Oct 2022'!AH18/100))</f>
        <v>0</v>
      </c>
      <c r="I32" s="52">
        <f t="shared" si="17"/>
        <v>1530.3283636363635</v>
      </c>
      <c r="J32" s="109">
        <f t="shared" ref="J32:J44" si="22">(I32-C32)*4</f>
        <v>5782.7272727272721</v>
      </c>
      <c r="K32" s="109">
        <f t="shared" si="18"/>
        <v>6121.3134545454541</v>
      </c>
      <c r="L32" s="53">
        <f t="shared" si="19"/>
        <v>6733.4448000000002</v>
      </c>
      <c r="M32" s="54">
        <f>'SA Oct 2022'!BB18</f>
        <v>0</v>
      </c>
      <c r="N32" s="54">
        <f>'SA Oct 2022'!BC18</f>
        <v>0</v>
      </c>
      <c r="O32" s="54">
        <f>'SA Oct 2022'!BD18</f>
        <v>0</v>
      </c>
      <c r="P32" s="54">
        <f>'SA Oct 2022'!BE18</f>
        <v>0</v>
      </c>
      <c r="Q32" s="110" t="str">
        <f t="shared" si="20"/>
        <v>No discount</v>
      </c>
      <c r="R32" s="73" t="str">
        <f t="shared" si="21"/>
        <v>Exclusive</v>
      </c>
      <c r="S32" s="111">
        <f>IF(AND(Q32="Guaranteed off bill",R32="Inclusive"),((K32*1.1)-((K32*1.1)*M32/100))/1.1,IF(AND(Q32="Guaranteed off usage",R32="Inclusive"),((K32*1.1)-((J32*1.1)*N32/100))/1.1,IF(AND(Q32="Guaranteed off bill",R32="Exclusive"),K32-(K32*M32/100),IF(AND(Q32="Guaranteed off usage",R32="Exclusive"),K32-(J32*N32/100),IF(R32="Inclusive",((K32*1.1))/1.1,K32)))))</f>
        <v>6121.3134545454541</v>
      </c>
      <c r="T32" s="112">
        <f>IF(AND(Q32="Pay-on-time off bill",R32="Inclusive"),((S32*1.1)-((S32*1.1)*O32/100))/1.1,IF(AND(Q32="Pay-on-time off usage",R32="Inclusive"),((S32*1.1)-((J32*1.1)*P32/100))/1.1,IF(AND(Q32="Pay-on-time off bill",R32="Exclusive"),S32-(S32*O32/100),IF(AND(Q32="Pay-on-time off usage",R32="Exclusive"),S32-(J32*P32/100),IF(R32="Inclusive",((S32*1.1))/1.1,S32)))))</f>
        <v>6121.3134545454541</v>
      </c>
      <c r="U32" s="97">
        <f t="shared" ref="U32:V41" si="23">S32*1.1</f>
        <v>6733.4448000000002</v>
      </c>
      <c r="V32" s="98">
        <f t="shared" si="23"/>
        <v>6733.4448000000002</v>
      </c>
      <c r="W32" s="55">
        <f>'SA Oct 2022'!BL18</f>
        <v>0</v>
      </c>
      <c r="X32" s="56">
        <f>'SA Oct 2022'!BM18</f>
        <v>0</v>
      </c>
      <c r="Y32" s="361"/>
      <c r="Z32" s="361"/>
      <c r="AA32" s="361"/>
      <c r="AB32" s="361"/>
      <c r="AC32" s="361"/>
      <c r="AD32" s="361"/>
      <c r="AE32" s="361"/>
      <c r="AF32" s="361"/>
      <c r="AG32" s="361"/>
      <c r="AH32" s="361"/>
      <c r="AI32" s="361"/>
      <c r="AJ32" s="361"/>
      <c r="AK32" s="361"/>
      <c r="AL32" s="361"/>
      <c r="AM32" s="361"/>
      <c r="AN32" s="361"/>
      <c r="AO32" s="361"/>
      <c r="AP32" s="361"/>
      <c r="AQ32" s="361"/>
      <c r="AR32" s="361"/>
    </row>
    <row r="33" spans="1:44" ht="14" x14ac:dyDescent="0.15">
      <c r="A33" s="70" t="str">
        <f>'SA Oct 2022'!K19</f>
        <v>Diamond Energy</v>
      </c>
      <c r="B33" s="49" t="str">
        <f>'SA Oct 2022'!L19</f>
        <v xml:space="preserve">Renewable Saver </v>
      </c>
      <c r="C33" s="46">
        <f>IF('SA Oct 2022'!BP19=0,91*'SA Oct 2022'!M19/100,(91*'SA Oct 2022'!M19/100)+'SA Oct 2022'!BP19/4)</f>
        <v>84.629999999999981</v>
      </c>
      <c r="D33" s="46">
        <f>IF('SA Oct 2022'!O19="",$C$26*$C$27*'SA Oct 2022'!N19/100,IF($C$26*$C$27&gt;='SA Oct 2022'!P19,('SA Oct 2022'!P19*'SA Oct 2022'!N19/100),($C$26*$C$27*'SA Oct 2022'!N19/100)))</f>
        <v>361.54545454545456</v>
      </c>
      <c r="E33" s="46">
        <f>IF(AND('SA Oct 2022'!P19&gt;0,'SA Oct 2022'!R19&gt;0),IF($C$26*$C$27&lt;'SA Oct 2022'!P19,0,IF($C$26*$C$27&lt;=('SA Oct 2022'!R19+'SA Oct 2022'!P19),(($C$26*$C$27-'SA Oct 2022'!P19)*'SA Oct 2022'!Q19/100),(('SA Oct 2022'!R19)*'SA Oct 2022'!Q19/100))),0)</f>
        <v>0</v>
      </c>
      <c r="F33" s="46">
        <f>IF(AND('SA Oct 2022'!R19&gt;0,'SA Oct 2022'!T19&gt;0),IF(($C$26*$C$27&lt;'SA Oct 2022'!T19),(0),($C$26*$C$27-'SA Oct 2022'!T19)*'SA Oct 2022'!U19/100),IF(AND('SA Oct 2022'!R19&gt;0,'SA Oct 2022'!T19=""),IF(($C$26*$C$27&lt;'SA Oct 2022'!R19+'SA Oct 2022'!P19),(0),(($C$26*$C$27-('SA Oct 2022'!R19+'SA Oct 2022'!P19))*'SA Oct 2022'!S19/100)),IF(AND('SA Oct 2022'!P19&gt;0,'SA Oct 2022'!R19=""&gt;0),IF(($C$26*$C$27&lt;'SA Oct 2022'!P19),(0),($C$26*$C$27-'SA Oct 2022'!P19)*'SA Oct 2022'!Q19/100),0)))</f>
        <v>974.99999999999989</v>
      </c>
      <c r="G33" s="50">
        <f>($C$26*$C$28)*'SA Oct 2022'!AF19/100</f>
        <v>263.0454545454545</v>
      </c>
      <c r="H33" s="51">
        <v>0</v>
      </c>
      <c r="I33" s="52">
        <f t="shared" si="17"/>
        <v>1684.2209090909089</v>
      </c>
      <c r="J33" s="109">
        <f t="shared" si="22"/>
        <v>6398.363636363636</v>
      </c>
      <c r="K33" s="109">
        <f t="shared" si="18"/>
        <v>6736.8836363636356</v>
      </c>
      <c r="L33" s="53">
        <f t="shared" si="19"/>
        <v>7410.5720000000001</v>
      </c>
      <c r="M33" s="54">
        <f>'SA Oct 2022'!BB19</f>
        <v>0</v>
      </c>
      <c r="N33" s="54">
        <f>'SA Oct 2022'!BC19</f>
        <v>0</v>
      </c>
      <c r="O33" s="54">
        <f>'SA Oct 2022'!BD19</f>
        <v>2</v>
      </c>
      <c r="P33" s="54">
        <f>'SA Oct 2022'!BE19</f>
        <v>0</v>
      </c>
      <c r="Q33" s="110" t="str">
        <f t="shared" si="20"/>
        <v>Pay-on-time off bill</v>
      </c>
      <c r="R33" s="73" t="str">
        <f t="shared" si="21"/>
        <v>Exclusive</v>
      </c>
      <c r="S33" s="111">
        <f t="shared" ref="S33:S44" si="24"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6736.8836363636356</v>
      </c>
      <c r="T33" s="112">
        <f t="shared" ref="T33:T44" si="25"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6602.1459636363625</v>
      </c>
      <c r="U33" s="97">
        <f t="shared" si="23"/>
        <v>7410.5720000000001</v>
      </c>
      <c r="V33" s="98">
        <f t="shared" si="23"/>
        <v>7262.3605599999992</v>
      </c>
      <c r="W33" s="55">
        <f>'SA Oct 2022'!BL19</f>
        <v>0</v>
      </c>
      <c r="X33" s="56">
        <f>'SA Oct 2022'!BM19</f>
        <v>0</v>
      </c>
      <c r="Y33" s="361"/>
      <c r="Z33" s="361"/>
      <c r="AA33" s="361"/>
      <c r="AB33" s="361"/>
      <c r="AC33" s="361"/>
      <c r="AD33" s="361"/>
      <c r="AE33" s="361"/>
      <c r="AF33" s="361"/>
      <c r="AG33" s="361"/>
      <c r="AH33" s="361"/>
      <c r="AI33" s="361"/>
      <c r="AJ33" s="361"/>
      <c r="AK33" s="361"/>
      <c r="AL33" s="361"/>
      <c r="AM33" s="361"/>
      <c r="AN33" s="361"/>
      <c r="AO33" s="361"/>
      <c r="AP33" s="361"/>
      <c r="AQ33" s="361"/>
      <c r="AR33" s="361"/>
    </row>
    <row r="34" spans="1:44" ht="14" x14ac:dyDescent="0.15">
      <c r="A34" s="70" t="str">
        <f>'SA Oct 2022'!K20</f>
        <v>EnergyAustralia</v>
      </c>
      <c r="B34" s="49" t="str">
        <f>'SA Oct 2022'!L20</f>
        <v>Balance Plan</v>
      </c>
      <c r="C34" s="46">
        <f>IF('SA Oct 2022'!BP20=0,91*'SA Oct 2022'!M20/100,(91*'SA Oct 2022'!M20/100)+'SA Oct 2022'!BP20/4)</f>
        <v>95.094999999999999</v>
      </c>
      <c r="D34" s="46">
        <f>IF('SA Oct 2022'!O20="",$C$26*$C$27*'SA Oct 2022'!N20/100,IF($C$26*$C$27&gt;='SA Oct 2022'!P20,('SA Oct 2022'!P20*'SA Oct 2022'!N20/100),($C$26*$C$27*'SA Oct 2022'!N20/100)))</f>
        <v>1310.5909090909088</v>
      </c>
      <c r="E34" s="46">
        <f>IF(AND('SA Oct 2022'!P20&gt;0,'SA Oct 2022'!R20&gt;0),IF($C$26*$C$27&lt;'SA Oct 2022'!P20,0,IF($C$26*$C$27&lt;=('SA Oct 2022'!R20+'SA Oct 2022'!P20),(($C$26*$C$27-'SA Oct 2022'!P20)*'SA Oct 2022'!Q20/100),(('SA Oct 2022'!R20)*'SA Oct 2022'!Q20/100))),0)</f>
        <v>0</v>
      </c>
      <c r="F34" s="46">
        <f>IF(AND('SA Oct 2022'!R20&gt;0,'SA Oct 2022'!T20&gt;0),IF(($C$26*$C$27&lt;'SA Oct 2022'!T20),(0),($C$26*$C$27-'SA Oct 2022'!T20)*'SA Oct 2022'!U20/100),IF(AND('SA Oct 2022'!R20&gt;0,'SA Oct 2022'!T20=""),IF(($C$26*$C$27&lt;'SA Oct 2022'!R20+'SA Oct 2022'!P20),(0),(($C$26*$C$27-('SA Oct 2022'!R20+'SA Oct 2022'!P20))*'SA Oct 2022'!S20/100)),IF(AND('SA Oct 2022'!P20&gt;0,'SA Oct 2022'!R20=""&gt;0),IF(($C$26*$C$27&lt;'SA Oct 2022'!P20),(0),($C$26*$C$27-'SA Oct 2022'!P20)*'SA Oct 2022'!Q20/100),0)))</f>
        <v>0</v>
      </c>
      <c r="G34" s="50">
        <f>($C$26*$C$28)*'SA Oct 2022'!AF20/100</f>
        <v>272.72727272727269</v>
      </c>
      <c r="H34" s="51">
        <v>0</v>
      </c>
      <c r="I34" s="52">
        <f t="shared" si="17"/>
        <v>1678.4131818181816</v>
      </c>
      <c r="J34" s="109">
        <f t="shared" si="22"/>
        <v>6333.2727272727261</v>
      </c>
      <c r="K34" s="109">
        <f t="shared" si="18"/>
        <v>6713.6527272727262</v>
      </c>
      <c r="L34" s="53">
        <f t="shared" si="19"/>
        <v>7385.0179999999991</v>
      </c>
      <c r="M34" s="54">
        <f>'SA Oct 2022'!BB20</f>
        <v>2</v>
      </c>
      <c r="N34" s="54">
        <f>'SA Oct 2022'!BC20</f>
        <v>0</v>
      </c>
      <c r="O34" s="54">
        <f>'SA Oct 2022'!BD20</f>
        <v>0</v>
      </c>
      <c r="P34" s="54">
        <f>'SA Oct 2022'!BE20</f>
        <v>0</v>
      </c>
      <c r="Q34" s="110" t="str">
        <f t="shared" si="20"/>
        <v>Guaranteed off bill</v>
      </c>
      <c r="R34" s="73" t="str">
        <f t="shared" si="21"/>
        <v>Exclusive</v>
      </c>
      <c r="S34" s="111">
        <f t="shared" si="24"/>
        <v>6579.379672727272</v>
      </c>
      <c r="T34" s="112">
        <f t="shared" si="25"/>
        <v>6579.379672727272</v>
      </c>
      <c r="U34" s="97">
        <f t="shared" si="23"/>
        <v>7237.3176400000002</v>
      </c>
      <c r="V34" s="98">
        <f t="shared" si="23"/>
        <v>7237.3176400000002</v>
      </c>
      <c r="W34" s="55">
        <f>'SA Oct 2022'!BL20</f>
        <v>0</v>
      </c>
      <c r="X34" s="56">
        <f>'SA Oct 2022'!BM20</f>
        <v>0</v>
      </c>
      <c r="Y34" s="361"/>
      <c r="Z34" s="361"/>
      <c r="AA34" s="361"/>
      <c r="AB34" s="361"/>
      <c r="AC34" s="361"/>
      <c r="AD34" s="361"/>
      <c r="AE34" s="361"/>
      <c r="AF34" s="361"/>
      <c r="AG34" s="361"/>
      <c r="AH34" s="361"/>
      <c r="AI34" s="361"/>
      <c r="AJ34" s="361"/>
      <c r="AK34" s="361"/>
      <c r="AL34" s="361"/>
      <c r="AM34" s="361"/>
      <c r="AN34" s="361"/>
      <c r="AO34" s="361"/>
      <c r="AP34" s="361"/>
      <c r="AQ34" s="361"/>
      <c r="AR34" s="361"/>
    </row>
    <row r="35" spans="1:44" ht="14" x14ac:dyDescent="0.15">
      <c r="A35" s="70" t="str">
        <f>'SA Oct 2022'!K21</f>
        <v>Lumo Energy</v>
      </c>
      <c r="B35" s="49" t="str">
        <f>'SA Oct 2022'!L21</f>
        <v>Basic</v>
      </c>
      <c r="C35" s="46">
        <f>IF('SA Oct 2022'!BP21=0,91*'SA Oct 2022'!M21/100,(91*'SA Oct 2022'!M21/100)+'SA Oct 2022'!BP21/4)</f>
        <v>118.3</v>
      </c>
      <c r="D35" s="46">
        <f>IF('SA Oct 2022'!O21="",$C$26*$C$27*'SA Oct 2022'!N21/100,IF($C$26*$C$27&gt;='SA Oct 2022'!P21,('SA Oct 2022'!P21*'SA Oct 2022'!N21/100),($C$26*$C$27*'SA Oct 2022'!N21/100)))</f>
        <v>1272.409090909091</v>
      </c>
      <c r="E35" s="46">
        <f>IF(AND('SA Oct 2022'!P21&gt;0,'SA Oct 2022'!R21&gt;0),IF($C$26*$C$27&lt;'SA Oct 2022'!P21,0,IF($C$26*$C$27&lt;=('SA Oct 2022'!R21+'SA Oct 2022'!P21),(($C$26*$C$27-'SA Oct 2022'!P21)*'SA Oct 2022'!Q21/100),(('SA Oct 2022'!R21)*'SA Oct 2022'!Q21/100))),0)</f>
        <v>0</v>
      </c>
      <c r="F35" s="46">
        <f>IF(AND('SA Oct 2022'!R21&gt;0,'SA Oct 2022'!T21&gt;0),IF(($C$26*$C$27&lt;'SA Oct 2022'!T21),(0),($C$26*$C$27-'SA Oct 2022'!T21)*'SA Oct 2022'!U21/100),IF(AND('SA Oct 2022'!R21&gt;0,'SA Oct 2022'!T21=""),IF(($C$26*$C$27&lt;'SA Oct 2022'!R21+'SA Oct 2022'!P21),(0),(($C$26*$C$27-('SA Oct 2022'!R21+'SA Oct 2022'!P21))*'SA Oct 2022'!S21/100)),IF(AND('SA Oct 2022'!P21&gt;0,'SA Oct 2022'!R21=""&gt;0),IF(($C$26*$C$27&lt;'SA Oct 2022'!P21),(0),($C$26*$C$27-'SA Oct 2022'!P21)*'SA Oct 2022'!Q21/100),0)))</f>
        <v>0</v>
      </c>
      <c r="G35" s="50">
        <f>($C$26*$C$28)*'SA Oct 2022'!AF21/100</f>
        <v>270</v>
      </c>
      <c r="H35" s="51">
        <v>1</v>
      </c>
      <c r="I35" s="52">
        <f t="shared" si="17"/>
        <v>1660.7090909090909</v>
      </c>
      <c r="J35" s="109">
        <f t="shared" si="22"/>
        <v>6169.636363636364</v>
      </c>
      <c r="K35" s="109">
        <f t="shared" si="18"/>
        <v>6642.8363636363638</v>
      </c>
      <c r="L35" s="53">
        <f t="shared" si="19"/>
        <v>7307.1200000000008</v>
      </c>
      <c r="M35" s="54">
        <f>'SA Oct 2022'!BB21</f>
        <v>0</v>
      </c>
      <c r="N35" s="54">
        <f>'SA Oct 2022'!BC21</f>
        <v>0</v>
      </c>
      <c r="O35" s="54">
        <f>'SA Oct 2022'!BD21</f>
        <v>0</v>
      </c>
      <c r="P35" s="54">
        <f>'SA Oct 2022'!BE21</f>
        <v>0</v>
      </c>
      <c r="Q35" s="110" t="str">
        <f t="shared" si="20"/>
        <v>No discount</v>
      </c>
      <c r="R35" s="73" t="str">
        <f t="shared" si="21"/>
        <v>Exclusive</v>
      </c>
      <c r="S35" s="111">
        <f t="shared" si="24"/>
        <v>6642.8363636363638</v>
      </c>
      <c r="T35" s="112">
        <f t="shared" si="25"/>
        <v>6642.8363636363638</v>
      </c>
      <c r="U35" s="97">
        <f t="shared" si="23"/>
        <v>7307.1200000000008</v>
      </c>
      <c r="V35" s="98">
        <f t="shared" si="23"/>
        <v>7307.1200000000008</v>
      </c>
      <c r="W35" s="55">
        <f>'SA Oct 2022'!BL21</f>
        <v>0</v>
      </c>
      <c r="X35" s="56">
        <f>'SA Oct 2022'!BM21</f>
        <v>0</v>
      </c>
      <c r="Y35" s="361"/>
      <c r="Z35" s="361"/>
      <c r="AA35" s="361"/>
      <c r="AB35" s="361"/>
      <c r="AC35" s="361"/>
      <c r="AD35" s="361"/>
      <c r="AE35" s="361"/>
      <c r="AF35" s="361"/>
      <c r="AG35" s="361"/>
      <c r="AH35" s="361"/>
      <c r="AI35" s="361"/>
      <c r="AJ35" s="361"/>
      <c r="AK35" s="361"/>
      <c r="AL35" s="361"/>
      <c r="AM35" s="361"/>
      <c r="AN35" s="361"/>
      <c r="AO35" s="361"/>
      <c r="AP35" s="361"/>
      <c r="AQ35" s="361"/>
      <c r="AR35" s="361"/>
    </row>
    <row r="36" spans="1:44" ht="14" x14ac:dyDescent="0.15">
      <c r="A36" s="70" t="str">
        <f>'SA Oct 2022'!K22</f>
        <v>Origin Energy</v>
      </c>
      <c r="B36" s="49" t="str">
        <f>'SA Oct 2022'!L22</f>
        <v>Go Variable</v>
      </c>
      <c r="C36" s="46">
        <f>IF('SA Oct 2022'!BP22=0,91*'SA Oct 2022'!M22/100,(91*'SA Oct 2022'!M22/100)+'SA Oct 2022'!BP22/4)</f>
        <v>78.673636363636348</v>
      </c>
      <c r="D36" s="46">
        <f>IF('SA Oct 2022'!O22="",$C$26*$C$27*'SA Oct 2022'!N22/100,IF($C$26*$C$27&gt;='SA Oct 2022'!P22,('SA Oct 2022'!P22*'SA Oct 2022'!N22/100),($C$26*$C$27*'SA Oct 2022'!N22/100)))</f>
        <v>1203.3636363636363</v>
      </c>
      <c r="E36" s="46">
        <f>IF(AND('SA Oct 2022'!P22&gt;0,'SA Oct 2022'!R22&gt;0),IF($C$26*$C$27&lt;'SA Oct 2022'!P22,0,IF($C$26*$C$27&lt;=('SA Oct 2022'!R22+'SA Oct 2022'!P22),(($C$26*$C$27-'SA Oct 2022'!P22)*'SA Oct 2022'!Q22/100),(('SA Oct 2022'!R22)*'SA Oct 2022'!Q22/100))),0)</f>
        <v>0</v>
      </c>
      <c r="F36" s="46">
        <f>IF(AND('SA Oct 2022'!R22&gt;0,'SA Oct 2022'!T22&gt;0),IF(($C$26*$C$27&lt;'SA Oct 2022'!T22),(0),($C$26*$C$27-'SA Oct 2022'!T22)*'SA Oct 2022'!U22/100),IF(AND('SA Oct 2022'!R22&gt;0,'SA Oct 2022'!T22=""),IF(($C$26*$C$27&lt;'SA Oct 2022'!R22+'SA Oct 2022'!P22),(0),(($C$26*$C$27-('SA Oct 2022'!R22+'SA Oct 2022'!P22))*'SA Oct 2022'!S22/100)),IF(AND('SA Oct 2022'!P22&gt;0,'SA Oct 2022'!R22=""&gt;0),IF(($C$26*$C$27&lt;'SA Oct 2022'!P22),(0),($C$26*$C$27-'SA Oct 2022'!P22)*'SA Oct 2022'!Q22/100),0)))</f>
        <v>0</v>
      </c>
      <c r="G36" s="50">
        <f>($C$26*$C$28)*'SA Oct 2022'!AF22/100</f>
        <v>244.22727272727272</v>
      </c>
      <c r="H36" s="51">
        <v>0</v>
      </c>
      <c r="I36" s="52">
        <f t="shared" si="17"/>
        <v>1526.2645454545454</v>
      </c>
      <c r="J36" s="109">
        <f t="shared" si="22"/>
        <v>5790.363636363636</v>
      </c>
      <c r="K36" s="109">
        <f t="shared" si="18"/>
        <v>6105.0581818181818</v>
      </c>
      <c r="L36" s="53">
        <f t="shared" si="19"/>
        <v>6715.5640000000003</v>
      </c>
      <c r="M36" s="54">
        <f>'SA Oct 2022'!BB22</f>
        <v>0</v>
      </c>
      <c r="N36" s="54">
        <f>'SA Oct 2022'!BC22</f>
        <v>0</v>
      </c>
      <c r="O36" s="54">
        <f>'SA Oct 2022'!BD22</f>
        <v>0</v>
      </c>
      <c r="P36" s="54">
        <f>'SA Oct 2022'!BE22</f>
        <v>0</v>
      </c>
      <c r="Q36" s="110" t="str">
        <f t="shared" ref="Q36:Q42" si="26">IF(SUM(M36:P36)=0,"No discount",IF(M36&gt;0,"Guaranteed off bill",IF(N36&gt;0,"Guaranteed off usage",IF(O36&gt;0,"Pay-on-time off bill","Pay-on-time off usage"))))</f>
        <v>No discount</v>
      </c>
      <c r="R36" s="73" t="str">
        <f t="shared" si="21"/>
        <v>Inclusive</v>
      </c>
      <c r="S36" s="111">
        <f t="shared" si="24"/>
        <v>6105.0581818181818</v>
      </c>
      <c r="T36" s="112">
        <f t="shared" si="25"/>
        <v>6105.0581818181818</v>
      </c>
      <c r="U36" s="97">
        <f t="shared" si="23"/>
        <v>6715.5640000000003</v>
      </c>
      <c r="V36" s="98">
        <f t="shared" si="23"/>
        <v>6715.5640000000003</v>
      </c>
      <c r="W36" s="55">
        <f>'SA Oct 2022'!BL22</f>
        <v>0</v>
      </c>
      <c r="X36" s="56">
        <f>'SA Oct 2022'!BM22</f>
        <v>0</v>
      </c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</row>
    <row r="37" spans="1:44" ht="14" x14ac:dyDescent="0.15">
      <c r="A37" s="70" t="str">
        <f>'SA Oct 2022'!K23</f>
        <v>Red Energy</v>
      </c>
      <c r="B37" s="49" t="str">
        <f>'SA Oct 2022'!L23</f>
        <v>Red Business Saver</v>
      </c>
      <c r="C37" s="46">
        <f>IF('SA Oct 2022'!BP23=0,91*'SA Oct 2022'!M23/100,(91*'SA Oct 2022'!M23/100)+'SA Oct 2022'!BP23/4)</f>
        <v>118.3</v>
      </c>
      <c r="D37" s="46">
        <f>IF('SA Oct 2022'!O23="",$C$26*$C$27*'SA Oct 2022'!N23/100,IF($C$26*$C$27&gt;='SA Oct 2022'!P23,('SA Oct 2022'!P23*'SA Oct 2022'!N23/100),($C$26*$C$27*'SA Oct 2022'!N23/100)))</f>
        <v>1272.409090909091</v>
      </c>
      <c r="E37" s="46">
        <f>IF(AND('SA Oct 2022'!P23&gt;0,'SA Oct 2022'!R23&gt;0),IF($C$26*$C$27&lt;'SA Oct 2022'!P23,0,IF($C$26*$C$27&lt;=('SA Oct 2022'!R23+'SA Oct 2022'!P23),(($C$26*$C$27-'SA Oct 2022'!P23)*'SA Oct 2022'!Q23/100),(('SA Oct 2022'!R23)*'SA Oct 2022'!Q23/100))),0)</f>
        <v>0</v>
      </c>
      <c r="F37" s="46">
        <f>IF(AND('SA Oct 2022'!R23&gt;0,'SA Oct 2022'!T23&gt;0),IF(($C$26*$C$27&lt;'SA Oct 2022'!T23),(0),($C$26*$C$27-'SA Oct 2022'!T23)*'SA Oct 2022'!U23/100),IF(AND('SA Oct 2022'!R23&gt;0,'SA Oct 2022'!T23=""),IF(($C$26*$C$27&lt;'SA Oct 2022'!R23+'SA Oct 2022'!P23),(0),(($C$26*$C$27-('SA Oct 2022'!R23+'SA Oct 2022'!P23))*'SA Oct 2022'!S23/100)),IF(AND('SA Oct 2022'!P23&gt;0,'SA Oct 2022'!R23=""&gt;0),IF(($C$26*$C$27&lt;'SA Oct 2022'!P23),(0),($C$26*$C$27-'SA Oct 2022'!P23)*'SA Oct 2022'!Q23/100),0)))</f>
        <v>0</v>
      </c>
      <c r="G37" s="50">
        <f>($C$26*$C$28)*'SA Oct 2022'!AF23/100</f>
        <v>270</v>
      </c>
      <c r="H37" s="51">
        <v>0</v>
      </c>
      <c r="I37" s="52">
        <f t="shared" si="17"/>
        <v>1660.7090909090909</v>
      </c>
      <c r="J37" s="109">
        <f t="shared" si="22"/>
        <v>6169.636363636364</v>
      </c>
      <c r="K37" s="109">
        <f t="shared" si="18"/>
        <v>6642.8363636363638</v>
      </c>
      <c r="L37" s="53">
        <f t="shared" si="19"/>
        <v>7307.1200000000008</v>
      </c>
      <c r="M37" s="54">
        <f>'SA Oct 2022'!BB23</f>
        <v>0</v>
      </c>
      <c r="N37" s="54">
        <f>'SA Oct 2022'!BC23</f>
        <v>0</v>
      </c>
      <c r="O37" s="54">
        <f>'SA Oct 2022'!BD23</f>
        <v>0</v>
      </c>
      <c r="P37" s="54">
        <f>'SA Oct 2022'!BE23</f>
        <v>0</v>
      </c>
      <c r="Q37" s="110" t="str">
        <f t="shared" si="26"/>
        <v>No discount</v>
      </c>
      <c r="R37" s="73" t="str">
        <f t="shared" si="21"/>
        <v>Inclusive</v>
      </c>
      <c r="S37" s="111">
        <f t="shared" si="24"/>
        <v>6642.8363636363638</v>
      </c>
      <c r="T37" s="112">
        <f t="shared" si="25"/>
        <v>6642.8363636363638</v>
      </c>
      <c r="U37" s="97">
        <f t="shared" si="23"/>
        <v>7307.1200000000008</v>
      </c>
      <c r="V37" s="98">
        <f t="shared" si="23"/>
        <v>7307.1200000000008</v>
      </c>
      <c r="W37" s="55">
        <f>'SA Oct 2022'!BL23</f>
        <v>0</v>
      </c>
      <c r="X37" s="56">
        <f>'SA Oct 2022'!BM23</f>
        <v>0</v>
      </c>
      <c r="Y37" s="361"/>
      <c r="Z37" s="361"/>
      <c r="AA37" s="361"/>
      <c r="AB37" s="361"/>
      <c r="AC37" s="361"/>
      <c r="AD37" s="361"/>
      <c r="AE37" s="361"/>
      <c r="AF37" s="361"/>
      <c r="AG37" s="361"/>
      <c r="AH37" s="361"/>
      <c r="AI37" s="361"/>
      <c r="AJ37" s="361"/>
      <c r="AK37" s="361"/>
      <c r="AL37" s="361"/>
      <c r="AM37" s="361"/>
      <c r="AN37" s="361"/>
      <c r="AO37" s="361"/>
      <c r="AP37" s="361"/>
      <c r="AQ37" s="361"/>
      <c r="AR37" s="361"/>
    </row>
    <row r="38" spans="1:44" ht="14" x14ac:dyDescent="0.15">
      <c r="A38" s="70" t="str">
        <f>'SA Oct 2022'!K24</f>
        <v>Simply Energy</v>
      </c>
      <c r="B38" s="49" t="str">
        <f>'SA Oct 2022'!L24</f>
        <v>Business Basic</v>
      </c>
      <c r="C38" s="46">
        <f>IF('SA Oct 2022'!BP24=0,91*'SA Oct 2022'!M24/100,(91*'SA Oct 2022'!M24/100)+'SA Oct 2022'!BP24/4)</f>
        <v>93.274999999999977</v>
      </c>
      <c r="D38" s="46">
        <f>IF('SA Oct 2022'!O24="",$C$26*$C$27*'SA Oct 2022'!N24/100,IF($C$26*$C$27&gt;='SA Oct 2022'!P24,('SA Oct 2022'!P24*'SA Oct 2022'!N24/100),($C$26*$C$27*'SA Oct 2022'!N24/100)))</f>
        <v>1313.1363636363635</v>
      </c>
      <c r="E38" s="46">
        <f>IF(AND('SA Oct 2022'!P24&gt;0,'SA Oct 2022'!R24&gt;0),IF($C$26*$C$27&lt;'SA Oct 2022'!P24,0,IF($C$26*$C$27&lt;=('SA Oct 2022'!R24+'SA Oct 2022'!P24),(($C$26*$C$27-'SA Oct 2022'!P24)*'SA Oct 2022'!Q24/100),(('SA Oct 2022'!R24)*'SA Oct 2022'!Q24/100))),0)</f>
        <v>0</v>
      </c>
      <c r="F38" s="46">
        <f>IF(AND('SA Oct 2022'!R24&gt;0,'SA Oct 2022'!T24&gt;0),IF(($C$26*$C$27&lt;'SA Oct 2022'!T24),(0),($C$26*$C$27-'SA Oct 2022'!T24)*'SA Oct 2022'!U24/100),IF(AND('SA Oct 2022'!R24&gt;0,'SA Oct 2022'!T24=""),IF(($C$26*$C$27&lt;'SA Oct 2022'!R24+'SA Oct 2022'!P24),(0),(($C$26*$C$27-('SA Oct 2022'!R24+'SA Oct 2022'!P24))*'SA Oct 2022'!S24/100)),IF(AND('SA Oct 2022'!P24&gt;0,'SA Oct 2022'!R24=""&gt;0),IF(($C$26*$C$27&lt;'SA Oct 2022'!P24),(0),($C$26*$C$27-'SA Oct 2022'!P24)*'SA Oct 2022'!Q24/100),0)))</f>
        <v>0</v>
      </c>
      <c r="G38" s="50">
        <f>($C$26*$C$28)*'SA Oct 2022'!AF24/100</f>
        <v>272.72727272727269</v>
      </c>
      <c r="H38" s="51">
        <v>0</v>
      </c>
      <c r="I38" s="52">
        <f t="shared" si="17"/>
        <v>1679.1386363636364</v>
      </c>
      <c r="J38" s="109">
        <f t="shared" si="22"/>
        <v>6343.454545454546</v>
      </c>
      <c r="K38" s="109">
        <f t="shared" si="18"/>
        <v>6716.5545454545454</v>
      </c>
      <c r="L38" s="53">
        <f t="shared" si="19"/>
        <v>7388.2100000000009</v>
      </c>
      <c r="M38" s="54">
        <f>'SA Oct 2022'!BB24</f>
        <v>0</v>
      </c>
      <c r="N38" s="54">
        <f>'SA Oct 2022'!BC24</f>
        <v>0</v>
      </c>
      <c r="O38" s="54">
        <f>'SA Oct 2022'!BD24</f>
        <v>0</v>
      </c>
      <c r="P38" s="54">
        <f>'SA Oct 2022'!BE24</f>
        <v>0</v>
      </c>
      <c r="Q38" s="110" t="str">
        <f t="shared" si="26"/>
        <v>No discount</v>
      </c>
      <c r="R38" s="73" t="str">
        <f t="shared" si="21"/>
        <v>Exclusive</v>
      </c>
      <c r="S38" s="111">
        <f t="shared" si="24"/>
        <v>6716.5545454545454</v>
      </c>
      <c r="T38" s="112">
        <f t="shared" si="25"/>
        <v>6716.5545454545454</v>
      </c>
      <c r="U38" s="97">
        <f t="shared" si="23"/>
        <v>7388.2100000000009</v>
      </c>
      <c r="V38" s="98">
        <f t="shared" si="23"/>
        <v>7388.2100000000009</v>
      </c>
      <c r="W38" s="55">
        <f>'SA Oct 2022'!BL24</f>
        <v>0</v>
      </c>
      <c r="X38" s="56">
        <f>'SA Oct 2022'!BM24</f>
        <v>0</v>
      </c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1"/>
      <c r="AJ38" s="361"/>
      <c r="AK38" s="361"/>
      <c r="AL38" s="361"/>
      <c r="AM38" s="361"/>
      <c r="AN38" s="361"/>
      <c r="AO38" s="361"/>
      <c r="AP38" s="361"/>
      <c r="AQ38" s="361"/>
      <c r="AR38" s="361"/>
    </row>
    <row r="39" spans="1:44" ht="14" x14ac:dyDescent="0.15">
      <c r="A39" s="70" t="str">
        <f>'SA Oct 2022'!K25</f>
        <v>Powershop</v>
      </c>
      <c r="B39" s="49" t="str">
        <f>'SA Oct 2022'!L25</f>
        <v>Carbon Neutral</v>
      </c>
      <c r="C39" s="46">
        <f>IF('SA Oct 2022'!BP25=0,91*'SA Oct 2022'!M25/100,(91*'SA Oct 2022'!M25/100)+'SA Oct 2022'!BP25/4)</f>
        <v>126.14254545454543</v>
      </c>
      <c r="D39" s="46">
        <f>IF('SA Oct 2022'!O25="",$C$26*$C$27*'SA Oct 2022'!N25/100,IF($C$26*$C$27&gt;='SA Oct 2022'!P25,('SA Oct 2022'!P25*'SA Oct 2022'!N25/100),($C$26*$C$27*'SA Oct 2022'!N25/100)))</f>
        <v>1303.9090909090908</v>
      </c>
      <c r="E39" s="46">
        <f>IF(AND('SA Oct 2022'!P25&gt;0,'SA Oct 2022'!R25&gt;0),IF($C$26*$C$27&lt;'SA Oct 2022'!P25,0,IF($C$26*$C$27&lt;=('SA Oct 2022'!R25+'SA Oct 2022'!P25),(($C$26*$C$27-'SA Oct 2022'!P25)*'SA Oct 2022'!Q25/100),(('SA Oct 2022'!R25)*'SA Oct 2022'!Q25/100))),0)</f>
        <v>0</v>
      </c>
      <c r="F39" s="46">
        <f>IF(AND('SA Oct 2022'!R25&gt;0,'SA Oct 2022'!T25&gt;0),IF(($C$26*$C$27&lt;'SA Oct 2022'!T25),(0),($C$26*$C$27-'SA Oct 2022'!T25)*'SA Oct 2022'!U25/100),IF(AND('SA Oct 2022'!R25&gt;0,'SA Oct 2022'!T25=""),IF(($C$26*$C$27&lt;'SA Oct 2022'!R25+'SA Oct 2022'!P25),(0),(($C$26*$C$27-('SA Oct 2022'!R25+'SA Oct 2022'!P25))*'SA Oct 2022'!S25/100)),IF(AND('SA Oct 2022'!P25&gt;0,'SA Oct 2022'!R25=""&gt;0),IF(($C$26*$C$27&lt;'SA Oct 2022'!P25),(0),($C$26*$C$27-'SA Oct 2022'!P25)*'SA Oct 2022'!Q25/100),0)))</f>
        <v>0</v>
      </c>
      <c r="G39" s="50">
        <f>($C$26*$C$28)*'SA Oct 2022'!AF25/100</f>
        <v>276.81818181818181</v>
      </c>
      <c r="H39" s="51">
        <v>0</v>
      </c>
      <c r="I39" s="52">
        <f t="shared" si="17"/>
        <v>1706.8698181818179</v>
      </c>
      <c r="J39" s="109">
        <f t="shared" si="22"/>
        <v>6322.9090909090901</v>
      </c>
      <c r="K39" s="109">
        <f t="shared" si="18"/>
        <v>6827.4792727272716</v>
      </c>
      <c r="L39" s="53">
        <f t="shared" si="19"/>
        <v>7510.2271999999994</v>
      </c>
      <c r="M39" s="54">
        <f>'SA Oct 2022'!BB25</f>
        <v>0</v>
      </c>
      <c r="N39" s="54">
        <f>'SA Oct 2022'!BC25</f>
        <v>0</v>
      </c>
      <c r="O39" s="54">
        <f>'SA Oct 2022'!BD25</f>
        <v>0</v>
      </c>
      <c r="P39" s="54">
        <f>'SA Oct 2022'!BE25</f>
        <v>0</v>
      </c>
      <c r="Q39" s="110" t="str">
        <f t="shared" si="26"/>
        <v>No discount</v>
      </c>
      <c r="R39" s="73" t="str">
        <f t="shared" si="21"/>
        <v>Inclusive</v>
      </c>
      <c r="S39" s="111">
        <f t="shared" si="24"/>
        <v>6827.4792727272716</v>
      </c>
      <c r="T39" s="112">
        <f t="shared" si="25"/>
        <v>6827.4792727272716</v>
      </c>
      <c r="U39" s="97">
        <f t="shared" si="23"/>
        <v>7510.2271999999994</v>
      </c>
      <c r="V39" s="98">
        <f t="shared" si="23"/>
        <v>7510.2271999999994</v>
      </c>
      <c r="W39" s="55">
        <f>'SA Oct 2022'!BL25</f>
        <v>0</v>
      </c>
      <c r="X39" s="56">
        <f>'SA Oct 2022'!BM25</f>
        <v>0</v>
      </c>
      <c r="Y39" s="361"/>
      <c r="Z39" s="361"/>
      <c r="AA39" s="361"/>
      <c r="AB39" s="361"/>
      <c r="AC39" s="361"/>
      <c r="AD39" s="361"/>
      <c r="AE39" s="361"/>
      <c r="AF39" s="361"/>
      <c r="AG39" s="361"/>
      <c r="AH39" s="361"/>
      <c r="AI39" s="361"/>
      <c r="AJ39" s="361"/>
      <c r="AK39" s="361"/>
      <c r="AL39" s="361"/>
      <c r="AM39" s="361"/>
      <c r="AN39" s="361"/>
      <c r="AO39" s="361"/>
      <c r="AP39" s="361"/>
      <c r="AQ39" s="361"/>
      <c r="AR39" s="361"/>
    </row>
    <row r="40" spans="1:44" ht="14" x14ac:dyDescent="0.15">
      <c r="A40" s="70" t="str">
        <f>'SA Oct 2022'!K26</f>
        <v>Energy Locals</v>
      </c>
      <c r="B40" s="49" t="str">
        <f>'SA Oct 2022'!L26</f>
        <v>Business Member</v>
      </c>
      <c r="C40" s="46">
        <f>IF('SA Oct 2022'!BP26=0,91*'SA Oct 2022'!M26/100,(91*'SA Oct 2022'!M26/100)+'SA Oct 2022'!BP26/4)</f>
        <v>109.5590909090909</v>
      </c>
      <c r="D40" s="46">
        <f>IF('SA Oct 2022'!O26="",$C$26*$C$27*'SA Oct 2022'!N26/100,IF($C$26*$C$27&gt;='SA Oct 2022'!P26,('SA Oct 2022'!P26*'SA Oct 2022'!N26/100),($C$26*$C$27*'SA Oct 2022'!N26/100)))</f>
        <v>1145.4545454545455</v>
      </c>
      <c r="E40" s="46">
        <f>IF(AND('SA Oct 2022'!P26&gt;0,'SA Oct 2022'!R26&gt;0),IF($C$26*$C$27&lt;'SA Oct 2022'!P26,0,IF($C$26*$C$27&lt;=('SA Oct 2022'!R26+'SA Oct 2022'!P26),(($C$26*$C$27-'SA Oct 2022'!P26)*'SA Oct 2022'!Q26/100),(('SA Oct 2022'!R26)*'SA Oct 2022'!Q26/100))),0)</f>
        <v>0</v>
      </c>
      <c r="F40" s="46">
        <f>IF(AND('SA Oct 2022'!R26&gt;0,'SA Oct 2022'!T26&gt;0),IF(($C$26*$C$27&lt;'SA Oct 2022'!T26),(0),($C$26*$C$27-'SA Oct 2022'!T26)*'SA Oct 2022'!U26/100),IF(AND('SA Oct 2022'!R26&gt;0,'SA Oct 2022'!T26=""),IF(($C$26*$C$27&lt;'SA Oct 2022'!R26+'SA Oct 2022'!P26),(0),(($C$26*$C$27-('SA Oct 2022'!R26+'SA Oct 2022'!P26))*'SA Oct 2022'!S26/100)),IF(AND('SA Oct 2022'!P26&gt;0,'SA Oct 2022'!R26=""&gt;0),IF(($C$26*$C$27&lt;'SA Oct 2022'!P26),(0),($C$26*$C$27-'SA Oct 2022'!P26)*'SA Oct 2022'!Q26/100),0)))</f>
        <v>0</v>
      </c>
      <c r="G40" s="50">
        <f>($C$26*$C$28)*'SA Oct 2022'!AF26/100</f>
        <v>354.5454545454545</v>
      </c>
      <c r="H40" s="51">
        <v>0</v>
      </c>
      <c r="I40" s="52">
        <f t="shared" si="17"/>
        <v>1609.5590909090909</v>
      </c>
      <c r="J40" s="111">
        <f t="shared" si="22"/>
        <v>6000</v>
      </c>
      <c r="K40" s="109">
        <f t="shared" si="18"/>
        <v>6438.2363636363634</v>
      </c>
      <c r="L40" s="53">
        <f t="shared" si="19"/>
        <v>7082.06</v>
      </c>
      <c r="M40" s="54">
        <f>'SA Oct 2022'!BB26</f>
        <v>0</v>
      </c>
      <c r="N40" s="54">
        <f>'SA Oct 2022'!BC26</f>
        <v>0</v>
      </c>
      <c r="O40" s="54">
        <f>'SA Oct 2022'!BD26</f>
        <v>0</v>
      </c>
      <c r="P40" s="54">
        <f>'SA Oct 2022'!BE26</f>
        <v>0</v>
      </c>
      <c r="Q40" s="110" t="str">
        <f t="shared" si="26"/>
        <v>No discount</v>
      </c>
      <c r="R40" s="73" t="str">
        <f t="shared" si="21"/>
        <v>Exclusive</v>
      </c>
      <c r="S40" s="111">
        <f t="shared" si="24"/>
        <v>6438.2363636363634</v>
      </c>
      <c r="T40" s="112">
        <f t="shared" si="25"/>
        <v>6438.2363636363634</v>
      </c>
      <c r="U40" s="97">
        <f t="shared" si="23"/>
        <v>7082.06</v>
      </c>
      <c r="V40" s="268">
        <f t="shared" si="23"/>
        <v>7082.06</v>
      </c>
      <c r="W40" s="55">
        <f>'SA Oct 2022'!BL26</f>
        <v>0</v>
      </c>
      <c r="X40" s="56">
        <f>'SA Oct 2022'!BM26</f>
        <v>0</v>
      </c>
      <c r="Y40" s="361"/>
      <c r="Z40" s="361"/>
      <c r="AA40" s="361"/>
      <c r="AB40" s="361"/>
      <c r="AC40" s="361"/>
      <c r="AD40" s="361"/>
      <c r="AE40" s="361"/>
      <c r="AF40" s="361"/>
      <c r="AG40" s="361"/>
      <c r="AH40" s="361"/>
      <c r="AI40" s="361"/>
      <c r="AJ40" s="361"/>
      <c r="AK40" s="361"/>
      <c r="AL40" s="361"/>
      <c r="AM40" s="361"/>
      <c r="AN40" s="361"/>
      <c r="AO40" s="361"/>
      <c r="AP40" s="361"/>
      <c r="AQ40" s="361"/>
      <c r="AR40" s="361"/>
    </row>
    <row r="41" spans="1:44" ht="14" x14ac:dyDescent="0.15">
      <c r="A41" s="70" t="str">
        <f>'SA Oct 2022'!K27</f>
        <v>ReAmped Energy</v>
      </c>
      <c r="B41" s="49" t="str">
        <f>'SA Oct 2022'!L27</f>
        <v>Business</v>
      </c>
      <c r="C41" s="46">
        <f>IF('SA Oct 2022'!BP27=0,91*'SA Oct 2022'!M27/100,(91*'SA Oct 2022'!M27/100)+'SA Oct 2022'!BP27/4)</f>
        <v>125.91918181818183</v>
      </c>
      <c r="D41" s="46">
        <f>IF('SA Oct 2022'!O27="",$C$26*$C$27*'SA Oct 2022'!N27/100,IF($C$26*$C$27&gt;='SA Oct 2022'!P27,('SA Oct 2022'!P27*'SA Oct 2022'!N27/100),($C$26*$C$27*'SA Oct 2022'!N27/100)))</f>
        <v>1418.1363636363635</v>
      </c>
      <c r="E41" s="46">
        <f>IF(AND('SA Oct 2022'!P27&gt;0,'SA Oct 2022'!R27&gt;0),IF($C$26*$C$27&lt;'SA Oct 2022'!P27,0,IF($C$26*$C$27&lt;=('SA Oct 2022'!R27+'SA Oct 2022'!P27),(($C$26*$C$27-'SA Oct 2022'!P27)*'SA Oct 2022'!Q27/100),(('SA Oct 2022'!R27)*'SA Oct 2022'!Q27/100))),0)</f>
        <v>0</v>
      </c>
      <c r="F41" s="46">
        <f>IF(AND('SA Oct 2022'!R27&gt;0,'SA Oct 2022'!T27&gt;0),IF(($C$26*$C$27&lt;'SA Oct 2022'!T27),(0),($C$26*$C$27-'SA Oct 2022'!T27)*'SA Oct 2022'!U27/100),IF(AND('SA Oct 2022'!R27&gt;0,'SA Oct 2022'!T27=""),IF(($C$26*$C$27&lt;'SA Oct 2022'!R27+'SA Oct 2022'!P27),(0),(($C$26*$C$27-('SA Oct 2022'!R27+'SA Oct 2022'!P27))*'SA Oct 2022'!S27/100)),IF(AND('SA Oct 2022'!P27&gt;0,'SA Oct 2022'!R27=""&gt;0),IF(($C$26*$C$27&lt;'SA Oct 2022'!P27),(0),($C$26*$C$27-'SA Oct 2022'!P27)*'SA Oct 2022'!Q27/100),0)))</f>
        <v>0</v>
      </c>
      <c r="G41" s="50">
        <f>($C$26*$C$28)*'SA Oct 2022'!AF27/100</f>
        <v>485.59090909090907</v>
      </c>
      <c r="H41" s="51">
        <v>2</v>
      </c>
      <c r="I41" s="52">
        <f t="shared" si="17"/>
        <v>2029.6464545454544</v>
      </c>
      <c r="J41" s="111">
        <f t="shared" si="22"/>
        <v>7614.9090909090901</v>
      </c>
      <c r="K41" s="109">
        <f t="shared" si="18"/>
        <v>8118.5858181818176</v>
      </c>
      <c r="L41" s="53">
        <f t="shared" si="19"/>
        <v>8930.4444000000003</v>
      </c>
      <c r="M41" s="54">
        <f>'SA Oct 2022'!BB27</f>
        <v>0</v>
      </c>
      <c r="N41" s="54">
        <f>'SA Oct 2022'!BC27</f>
        <v>0</v>
      </c>
      <c r="O41" s="54">
        <f>'SA Oct 2022'!BD27</f>
        <v>0</v>
      </c>
      <c r="P41" s="54">
        <f>'SA Oct 2022'!BE27</f>
        <v>0</v>
      </c>
      <c r="Q41" s="110" t="str">
        <f t="shared" si="26"/>
        <v>No discount</v>
      </c>
      <c r="R41" s="73" t="str">
        <f t="shared" si="21"/>
        <v>Exclusive</v>
      </c>
      <c r="S41" s="111">
        <f t="shared" si="24"/>
        <v>8118.5858181818176</v>
      </c>
      <c r="T41" s="112">
        <f t="shared" si="25"/>
        <v>8118.5858181818176</v>
      </c>
      <c r="U41" s="97">
        <f t="shared" si="23"/>
        <v>8930.4444000000003</v>
      </c>
      <c r="V41" s="268">
        <f t="shared" si="23"/>
        <v>8930.4444000000003</v>
      </c>
      <c r="W41" s="55">
        <f>'SA Oct 2022'!BL27</f>
        <v>0</v>
      </c>
      <c r="X41" s="56">
        <f>'SA Oct 2022'!BM27</f>
        <v>0</v>
      </c>
      <c r="Y41" s="361"/>
      <c r="Z41" s="361"/>
      <c r="AA41" s="361"/>
      <c r="AB41" s="361"/>
      <c r="AC41" s="361"/>
      <c r="AD41" s="361"/>
      <c r="AE41" s="361"/>
      <c r="AF41" s="361"/>
      <c r="AG41" s="361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</row>
    <row r="42" spans="1:44" ht="14" x14ac:dyDescent="0.15">
      <c r="A42" s="70" t="str">
        <f>'SA Oct 2022'!K28</f>
        <v>CovaU</v>
      </c>
      <c r="B42" s="49" t="str">
        <f>'SA Oct 2022'!L28</f>
        <v>Freedom</v>
      </c>
      <c r="C42" s="46">
        <f>IF('SA Oct 2022'!BP28=0,91*'SA Oct 2022'!M28/100,(91*'SA Oct 2022'!M28/100)+'SA Oct 2022'!BP28/4)</f>
        <v>90.09</v>
      </c>
      <c r="D42" s="46">
        <f>IF('SA Oct 2022'!O28="",$C$26*$C$27*'SA Oct 2022'!N28/100,IF($C$26*$C$27&gt;='SA Oct 2022'!P28,('SA Oct 2022'!P28*'SA Oct 2022'!N28/100),($C$26*$C$27*'SA Oct 2022'!N28/100)))</f>
        <v>1780.8636363636363</v>
      </c>
      <c r="E42" s="46">
        <f>IF(AND('SA Oct 2022'!P28&gt;0,'SA Oct 2022'!R28&gt;0),IF($C$26*$C$27&lt;'SA Oct 2022'!P28,0,IF($C$26*$C$27&lt;=('SA Oct 2022'!R28+'SA Oct 2022'!P28),(($C$26*$C$27-'SA Oct 2022'!P28)*'SA Oct 2022'!Q28/100),(('SA Oct 2022'!R28)*'SA Oct 2022'!Q28/100))),0)</f>
        <v>0</v>
      </c>
      <c r="F42" s="46">
        <f>IF(AND('SA Oct 2022'!R28&gt;0,'SA Oct 2022'!T28&gt;0),IF(($C$26*$C$27&lt;'SA Oct 2022'!T28),(0),($C$26*$C$27-'SA Oct 2022'!T28)*'SA Oct 2022'!U28/100),IF(AND('SA Oct 2022'!R28&gt;0,'SA Oct 2022'!T28=""),IF(($C$26*$C$27&lt;'SA Oct 2022'!R28+'SA Oct 2022'!P28),(0),(($C$26*$C$27-('SA Oct 2022'!R28+'SA Oct 2022'!P28))*'SA Oct 2022'!S28/100)),IF(AND('SA Oct 2022'!P28&gt;0,'SA Oct 2022'!R28=""&gt;0),IF(($C$26*$C$27&lt;'SA Oct 2022'!P28),(0),($C$26*$C$27-'SA Oct 2022'!P28)*'SA Oct 2022'!Q28/100),0)))</f>
        <v>0</v>
      </c>
      <c r="G42" s="50">
        <f>($C$26*$C$28)*'SA Oct 2022'!AF28/100</f>
        <v>512.99999999999989</v>
      </c>
      <c r="H42" s="51">
        <v>3</v>
      </c>
      <c r="I42" s="52">
        <f t="shared" si="17"/>
        <v>2383.9536363636362</v>
      </c>
      <c r="J42" s="111">
        <f t="shared" si="22"/>
        <v>9175.4545454545441</v>
      </c>
      <c r="K42" s="109">
        <f t="shared" si="18"/>
        <v>9535.8145454545447</v>
      </c>
      <c r="L42" s="53">
        <f t="shared" si="19"/>
        <v>10489.396000000001</v>
      </c>
      <c r="M42" s="54">
        <f>'SA Oct 2022'!BB28</f>
        <v>0</v>
      </c>
      <c r="N42" s="54">
        <f>'SA Oct 2022'!BC28</f>
        <v>5</v>
      </c>
      <c r="O42" s="54">
        <f>'SA Oct 2022'!BD28</f>
        <v>0</v>
      </c>
      <c r="P42" s="54">
        <f>'SA Oct 2022'!BE28</f>
        <v>0</v>
      </c>
      <c r="Q42" s="110" t="str">
        <f t="shared" si="26"/>
        <v>Guaranteed off usage</v>
      </c>
      <c r="R42" s="73" t="str">
        <f t="shared" si="21"/>
        <v>Exclusive</v>
      </c>
      <c r="S42" s="111">
        <f t="shared" si="24"/>
        <v>9077.0418181818168</v>
      </c>
      <c r="T42" s="112">
        <f t="shared" si="25"/>
        <v>9077.0418181818168</v>
      </c>
      <c r="U42" s="97">
        <f t="shared" ref="U42:V44" si="27">S42*1.1</f>
        <v>9984.7459999999992</v>
      </c>
      <c r="V42" s="268">
        <f t="shared" si="27"/>
        <v>9984.7459999999992</v>
      </c>
      <c r="W42" s="55">
        <f>'SA Oct 2022'!BL28</f>
        <v>0</v>
      </c>
      <c r="X42" s="56">
        <f>'SA Oct 2022'!BM28</f>
        <v>0</v>
      </c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1"/>
    </row>
    <row r="43" spans="1:44" ht="14" x14ac:dyDescent="0.15">
      <c r="A43" s="70" t="str">
        <f>'SA Oct 2022'!K29</f>
        <v>Sumo Power</v>
      </c>
      <c r="B43" s="49" t="str">
        <f>'SA Oct 2022'!L29</f>
        <v>Freedom Business</v>
      </c>
      <c r="C43" s="46">
        <f>IF('SA Oct 2022'!BP29=0,91*'SA Oct 2022'!M29/100,(91*'SA Oct 2022'!M29/100)+'SA Oct 2022'!BP29/4)</f>
        <v>72.8</v>
      </c>
      <c r="D43" s="46">
        <f>IF('SA Oct 2022'!O29="",$C$26*$C$27*'SA Oct 2022'!N29/100,IF($C$26*$C$27&gt;='SA Oct 2022'!P29,('SA Oct 2022'!P29*'SA Oct 2022'!N29/100),($C$26*$C$27*'SA Oct 2022'!N29/100)))</f>
        <v>1025.4999999999998</v>
      </c>
      <c r="E43" s="46">
        <f>IF(AND('SA Oct 2022'!P29&gt;0,'SA Oct 2022'!R29&gt;0),IF($C$26*$C$27&lt;'SA Oct 2022'!P29,0,IF($C$26*$C$27&lt;=('SA Oct 2022'!R29+'SA Oct 2022'!P29),(($C$26*$C$27-'SA Oct 2022'!P29)*'SA Oct 2022'!Q29/100),(('SA Oct 2022'!R29)*'SA Oct 2022'!Q29/100))),0)</f>
        <v>0</v>
      </c>
      <c r="F43" s="46">
        <f>IF(AND('SA Oct 2022'!R29&gt;0,'SA Oct 2022'!T29&gt;0),IF(($C$26*$C$27&lt;'SA Oct 2022'!T29),(0),($C$26*$C$27-'SA Oct 2022'!T29)*'SA Oct 2022'!U29/100),IF(AND('SA Oct 2022'!R29&gt;0,'SA Oct 2022'!T29=""),IF(($C$26*$C$27&lt;'SA Oct 2022'!R29+'SA Oct 2022'!P29),(0),(($C$26*$C$27-('SA Oct 2022'!R29+'SA Oct 2022'!P29))*'SA Oct 2022'!S29/100)),IF(AND('SA Oct 2022'!P29&gt;0,'SA Oct 2022'!R29=""&gt;0),IF(($C$26*$C$27&lt;'SA Oct 2022'!P29),(0),($C$26*$C$27-'SA Oct 2022'!P29)*'SA Oct 2022'!Q29/100),0)))</f>
        <v>0</v>
      </c>
      <c r="G43" s="50">
        <f>($C$26*$C$28)*'SA Oct 2022'!AF29/100</f>
        <v>226.49999999999997</v>
      </c>
      <c r="H43" s="51">
        <v>6</v>
      </c>
      <c r="I43" s="52">
        <f t="shared" si="17"/>
        <v>1324.7999999999997</v>
      </c>
      <c r="J43" s="111">
        <f t="shared" si="22"/>
        <v>5007.9999999999991</v>
      </c>
      <c r="K43" s="109">
        <f t="shared" si="18"/>
        <v>5299.1999999999989</v>
      </c>
      <c r="L43" s="53">
        <f t="shared" si="19"/>
        <v>5829.119999999999</v>
      </c>
      <c r="M43" s="54">
        <f>'SA Oct 2022'!BB29</f>
        <v>0</v>
      </c>
      <c r="N43" s="54">
        <f>'SA Oct 2022'!BC29</f>
        <v>0</v>
      </c>
      <c r="O43" s="54">
        <f>'SA Oct 2022'!BD29</f>
        <v>0</v>
      </c>
      <c r="P43" s="54">
        <f>'SA Oct 2022'!BE29</f>
        <v>0</v>
      </c>
      <c r="Q43" s="110" t="str">
        <f t="shared" ref="Q43:Q44" si="28">IF(SUM(M43:P43)=0,"No discount",IF(M43&gt;0,"Guaranteed off bill",IF(N43&gt;0,"Guaranteed off usage",IF(O43&gt;0,"Pay-on-time off bill","Pay-on-time off usage"))))</f>
        <v>No discount</v>
      </c>
      <c r="R43" s="73" t="str">
        <f t="shared" si="21"/>
        <v>Exclusive</v>
      </c>
      <c r="S43" s="111">
        <f t="shared" si="24"/>
        <v>5299.1999999999989</v>
      </c>
      <c r="T43" s="112">
        <f t="shared" si="25"/>
        <v>5299.1999999999989</v>
      </c>
      <c r="U43" s="97">
        <f t="shared" si="27"/>
        <v>5829.119999999999</v>
      </c>
      <c r="V43" s="268">
        <f t="shared" si="27"/>
        <v>5829.119999999999</v>
      </c>
      <c r="W43" s="55">
        <f>'SA Oct 2022'!BL29</f>
        <v>0</v>
      </c>
      <c r="X43" s="56">
        <f>'SA Oct 2022'!BM29</f>
        <v>0</v>
      </c>
      <c r="Y43" s="361"/>
      <c r="Z43" s="361"/>
      <c r="AA43" s="361"/>
      <c r="AB43" s="361"/>
      <c r="AC43" s="361"/>
      <c r="AD43" s="361"/>
      <c r="AE43" s="361"/>
      <c r="AF43" s="361"/>
      <c r="AG43" s="361"/>
      <c r="AH43" s="361"/>
      <c r="AI43" s="361"/>
      <c r="AJ43" s="361"/>
      <c r="AK43" s="361"/>
      <c r="AL43" s="361"/>
      <c r="AM43" s="361"/>
      <c r="AN43" s="361"/>
      <c r="AO43" s="361"/>
      <c r="AP43" s="361"/>
      <c r="AQ43" s="361"/>
      <c r="AR43" s="361"/>
    </row>
    <row r="44" spans="1:44" ht="14" x14ac:dyDescent="0.15">
      <c r="A44" s="70" t="str">
        <f>'SA Oct 2022'!K30</f>
        <v>Circular Energy</v>
      </c>
      <c r="B44" s="49" t="str">
        <f>'SA Oct 2022'!L30</f>
        <v>Zero Member Fee Business</v>
      </c>
      <c r="C44" s="46">
        <f>IF('SA Oct 2022'!BP30=0,91*'SA Oct 2022'!M30/100,(91*'SA Oct 2022'!M30/100)+'SA Oct 2022'!BP30/4)</f>
        <v>124.3390909090909</v>
      </c>
      <c r="D44" s="46">
        <f>IF('SA Oct 2022'!O30="",$C$26*$C$27*'SA Oct 2022'!N30/100,IF($C$26*$C$27&gt;='SA Oct 2022'!P30,('SA Oct 2022'!P30*'SA Oct 2022'!N30/100),($C$26*$C$27*'SA Oct 2022'!N30/100)))</f>
        <v>1269.5454545454543</v>
      </c>
      <c r="E44" s="46">
        <f>IF(AND('SA Oct 2022'!P30&gt;0,'SA Oct 2022'!R30&gt;0),IF($C$26*$C$27&lt;'SA Oct 2022'!P30,0,IF($C$26*$C$27&lt;=('SA Oct 2022'!R30+'SA Oct 2022'!P30),(($C$26*$C$27-'SA Oct 2022'!P30)*'SA Oct 2022'!Q30/100),(('SA Oct 2022'!R30)*'SA Oct 2022'!Q30/100))),0)</f>
        <v>0</v>
      </c>
      <c r="F44" s="46">
        <f>IF(AND('SA Oct 2022'!R30&gt;0,'SA Oct 2022'!T30&gt;0),IF(($C$26*$C$27&lt;'SA Oct 2022'!T30),(0),($C$26*$C$27-'SA Oct 2022'!T30)*'SA Oct 2022'!U30/100),IF(AND('SA Oct 2022'!R30&gt;0,'SA Oct 2022'!T30=""),IF(($C$26*$C$27&lt;'SA Oct 2022'!R30+'SA Oct 2022'!P30),(0),(($C$26*$C$27-('SA Oct 2022'!R30+'SA Oct 2022'!P30))*'SA Oct 2022'!S30/100)),IF(AND('SA Oct 2022'!P30&gt;0,'SA Oct 2022'!R30=""&gt;0),IF(($C$26*$C$27&lt;'SA Oct 2022'!P30),(0),($C$26*$C$27-'SA Oct 2022'!P30)*'SA Oct 2022'!Q30/100),0)))</f>
        <v>0</v>
      </c>
      <c r="G44" s="50">
        <f>($C$26*$C$28)*'SA Oct 2022'!AF30/100</f>
        <v>274.77272727272725</v>
      </c>
      <c r="H44" s="51">
        <v>7</v>
      </c>
      <c r="I44" s="52">
        <f t="shared" si="17"/>
        <v>1668.6572727272724</v>
      </c>
      <c r="J44" s="111">
        <f t="shared" si="22"/>
        <v>6177.2727272727261</v>
      </c>
      <c r="K44" s="109">
        <f t="shared" si="18"/>
        <v>6674.6290909090894</v>
      </c>
      <c r="L44" s="53">
        <f t="shared" si="19"/>
        <v>7342.0919999999987</v>
      </c>
      <c r="M44" s="54">
        <f>'SA Oct 2022'!BB30</f>
        <v>0</v>
      </c>
      <c r="N44" s="54">
        <f>'SA Oct 2022'!BC30</f>
        <v>0</v>
      </c>
      <c r="O44" s="54">
        <f>'SA Oct 2022'!BD30</f>
        <v>0</v>
      </c>
      <c r="P44" s="54">
        <f>'SA Oct 2022'!BE30</f>
        <v>0</v>
      </c>
      <c r="Q44" s="110" t="str">
        <f t="shared" si="28"/>
        <v>No discount</v>
      </c>
      <c r="R44" s="73" t="str">
        <f t="shared" si="21"/>
        <v>Exclusive</v>
      </c>
      <c r="S44" s="111">
        <f t="shared" si="24"/>
        <v>6674.6290909090894</v>
      </c>
      <c r="T44" s="112">
        <f t="shared" si="25"/>
        <v>6674.6290909090894</v>
      </c>
      <c r="U44" s="97">
        <f t="shared" si="27"/>
        <v>7342.0919999999987</v>
      </c>
      <c r="V44" s="268">
        <f t="shared" si="27"/>
        <v>7342.0919999999987</v>
      </c>
      <c r="W44" s="55">
        <f>'SA Oct 2022'!BL30</f>
        <v>0</v>
      </c>
      <c r="X44" s="56">
        <f>'SA Oct 2022'!BM30</f>
        <v>0</v>
      </c>
      <c r="Y44" s="361"/>
      <c r="Z44" s="361"/>
      <c r="AA44" s="361"/>
      <c r="AB44" s="361"/>
      <c r="AC44" s="361"/>
      <c r="AD44" s="361"/>
      <c r="AE44" s="361"/>
      <c r="AF44" s="361"/>
      <c r="AG44" s="361"/>
      <c r="AH44" s="361"/>
      <c r="AI44" s="361"/>
      <c r="AJ44" s="361"/>
      <c r="AK44" s="361"/>
      <c r="AL44" s="361"/>
      <c r="AM44" s="361"/>
      <c r="AN44" s="361"/>
      <c r="AO44" s="361"/>
      <c r="AP44" s="361"/>
      <c r="AQ44" s="361"/>
      <c r="AR44" s="361"/>
    </row>
    <row r="45" spans="1:44" ht="14" x14ac:dyDescent="0.15">
      <c r="A45" s="361"/>
      <c r="B45" s="361"/>
      <c r="C45" s="361"/>
      <c r="D45" s="361"/>
      <c r="E45" s="361"/>
      <c r="F45" s="361"/>
      <c r="G45" s="362"/>
      <c r="H45" s="362"/>
      <c r="I45" s="363"/>
      <c r="J45" s="363"/>
      <c r="K45" s="361"/>
      <c r="L45" s="361"/>
      <c r="M45" s="361"/>
      <c r="N45" s="361"/>
      <c r="O45" s="361"/>
      <c r="P45" s="361"/>
      <c r="Q45" s="361"/>
      <c r="R45" s="361"/>
      <c r="S45" s="361"/>
      <c r="T45" s="361"/>
      <c r="U45" s="361"/>
      <c r="V45" s="361"/>
      <c r="W45" s="361"/>
      <c r="X45" s="361"/>
      <c r="Y45" s="361"/>
      <c r="Z45" s="361"/>
      <c r="AA45" s="361"/>
      <c r="AB45" s="361"/>
      <c r="AC45" s="361"/>
      <c r="AD45" s="361"/>
      <c r="AE45" s="361"/>
      <c r="AF45" s="361"/>
      <c r="AG45" s="361"/>
      <c r="AH45" s="361"/>
      <c r="AI45" s="361"/>
      <c r="AJ45" s="361"/>
      <c r="AK45" s="361"/>
      <c r="AL45" s="361"/>
      <c r="AM45" s="361"/>
      <c r="AN45" s="361"/>
      <c r="AO45" s="361"/>
      <c r="AP45" s="361"/>
      <c r="AQ45" s="361"/>
      <c r="AR45" s="361"/>
    </row>
    <row r="46" spans="1:44" ht="15" thickBot="1" x14ac:dyDescent="0.2">
      <c r="A46" s="361"/>
      <c r="B46" s="361"/>
      <c r="C46" s="361"/>
      <c r="D46" s="362"/>
      <c r="E46" s="362"/>
      <c r="F46" s="362"/>
      <c r="G46" s="362"/>
      <c r="H46" s="362"/>
      <c r="I46" s="363"/>
      <c r="J46" s="363"/>
      <c r="K46" s="361"/>
      <c r="L46" s="361"/>
      <c r="M46" s="361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1"/>
      <c r="Z46" s="361"/>
      <c r="AA46" s="361"/>
      <c r="AB46" s="361"/>
      <c r="AC46" s="361"/>
      <c r="AD46" s="361"/>
      <c r="AE46" s="361"/>
      <c r="AF46" s="361"/>
      <c r="AG46" s="361"/>
      <c r="AH46" s="361"/>
      <c r="AI46" s="361"/>
      <c r="AJ46" s="361"/>
      <c r="AK46" s="361"/>
      <c r="AL46" s="361"/>
      <c r="AM46" s="361"/>
      <c r="AN46" s="361"/>
      <c r="AO46" s="361"/>
      <c r="AP46" s="361"/>
      <c r="AQ46" s="361"/>
      <c r="AR46" s="361"/>
    </row>
    <row r="47" spans="1:44" ht="14" x14ac:dyDescent="0.15">
      <c r="A47" s="36" t="s">
        <v>750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9"/>
      <c r="Y47" s="361"/>
      <c r="Z47" s="361"/>
      <c r="AA47" s="361"/>
      <c r="AB47" s="361"/>
      <c r="AC47" s="361"/>
      <c r="AD47" s="361"/>
      <c r="AE47" s="361"/>
      <c r="AF47" s="361"/>
      <c r="AG47" s="361"/>
      <c r="AH47" s="361"/>
      <c r="AI47" s="361"/>
      <c r="AJ47" s="361"/>
      <c r="AK47" s="361"/>
      <c r="AL47" s="361"/>
      <c r="AM47" s="361"/>
      <c r="AN47" s="361"/>
      <c r="AO47" s="361"/>
      <c r="AP47" s="361"/>
      <c r="AQ47" s="361"/>
      <c r="AR47" s="361"/>
    </row>
    <row r="48" spans="1:44" ht="14" x14ac:dyDescent="0.15">
      <c r="A48" s="40" t="s">
        <v>197</v>
      </c>
      <c r="B48" s="38"/>
      <c r="C48" s="47">
        <v>5000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41"/>
      <c r="Y48" s="361"/>
      <c r="Z48" s="361"/>
      <c r="AA48" s="361"/>
      <c r="AB48" s="361"/>
      <c r="AC48" s="361"/>
      <c r="AD48" s="361"/>
      <c r="AE48" s="361"/>
      <c r="AF48" s="361"/>
      <c r="AG48" s="361"/>
      <c r="AH48" s="361"/>
      <c r="AI48" s="361"/>
      <c r="AJ48" s="361"/>
      <c r="AK48" s="361"/>
      <c r="AL48" s="361"/>
      <c r="AM48" s="361"/>
      <c r="AN48" s="361"/>
      <c r="AO48" s="361"/>
      <c r="AP48" s="361"/>
      <c r="AQ48" s="361"/>
      <c r="AR48" s="361"/>
    </row>
    <row r="49" spans="1:44" ht="14" x14ac:dyDescent="0.15">
      <c r="A49" s="40" t="s">
        <v>85</v>
      </c>
      <c r="B49" s="38"/>
      <c r="C49" s="48">
        <v>0.3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41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</row>
    <row r="50" spans="1:44" ht="14" x14ac:dyDescent="0.15">
      <c r="A50" s="40" t="s">
        <v>753</v>
      </c>
      <c r="B50" s="38"/>
      <c r="C50" s="48">
        <v>0.4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41"/>
      <c r="Y50" s="361"/>
      <c r="Z50" s="361"/>
      <c r="AA50" s="361"/>
      <c r="AB50" s="361"/>
      <c r="AC50" s="361"/>
      <c r="AD50" s="361"/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361"/>
      <c r="AQ50" s="361"/>
      <c r="AR50" s="361"/>
    </row>
    <row r="51" spans="1:44" ht="14" x14ac:dyDescent="0.15">
      <c r="A51" s="40" t="s">
        <v>172</v>
      </c>
      <c r="B51" s="38"/>
      <c r="C51" s="48">
        <v>0.3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41"/>
      <c r="Y51" s="361"/>
      <c r="Z51" s="361"/>
      <c r="AA51" s="361"/>
      <c r="AB51" s="361"/>
      <c r="AC51" s="361"/>
      <c r="AD51" s="361"/>
      <c r="AE51" s="361"/>
      <c r="AF51" s="361"/>
      <c r="AG51" s="361"/>
      <c r="AH51" s="361"/>
      <c r="AI51" s="361"/>
      <c r="AJ51" s="361"/>
      <c r="AK51" s="361"/>
      <c r="AL51" s="361"/>
      <c r="AM51" s="361"/>
      <c r="AN51" s="361"/>
      <c r="AO51" s="361"/>
      <c r="AP51" s="361"/>
      <c r="AQ51" s="361"/>
      <c r="AR51" s="361"/>
    </row>
    <row r="52" spans="1:44" ht="14" x14ac:dyDescent="0.15">
      <c r="A52" s="40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41"/>
      <c r="Y52" s="361"/>
      <c r="Z52" s="361"/>
      <c r="AA52" s="361"/>
      <c r="AB52" s="361"/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</row>
    <row r="53" spans="1:44" ht="75" x14ac:dyDescent="0.15">
      <c r="A53" s="317" t="s">
        <v>216</v>
      </c>
      <c r="B53" s="272" t="s">
        <v>198</v>
      </c>
      <c r="C53" s="274" t="s">
        <v>199</v>
      </c>
      <c r="D53" s="274" t="s">
        <v>200</v>
      </c>
      <c r="E53" s="274" t="s">
        <v>201</v>
      </c>
      <c r="F53" s="274" t="s">
        <v>164</v>
      </c>
      <c r="G53" s="274" t="s">
        <v>754</v>
      </c>
      <c r="H53" s="274" t="s">
        <v>173</v>
      </c>
      <c r="I53" s="274" t="s">
        <v>165</v>
      </c>
      <c r="J53" s="275" t="s">
        <v>544</v>
      </c>
      <c r="K53" s="276" t="s">
        <v>166</v>
      </c>
      <c r="L53" s="277" t="s">
        <v>545</v>
      </c>
      <c r="M53" s="278" t="s">
        <v>167</v>
      </c>
      <c r="N53" s="278" t="s">
        <v>168</v>
      </c>
      <c r="O53" s="278" t="s">
        <v>169</v>
      </c>
      <c r="P53" s="278" t="s">
        <v>170</v>
      </c>
      <c r="Q53" s="279" t="s">
        <v>541</v>
      </c>
      <c r="R53" s="279" t="s">
        <v>542</v>
      </c>
      <c r="S53" s="280" t="s">
        <v>546</v>
      </c>
      <c r="T53" s="280" t="s">
        <v>547</v>
      </c>
      <c r="U53" s="281" t="s">
        <v>227</v>
      </c>
      <c r="V53" s="281" t="s">
        <v>272</v>
      </c>
      <c r="W53" s="278" t="s">
        <v>82</v>
      </c>
      <c r="X53" s="282" t="s">
        <v>83</v>
      </c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</row>
    <row r="54" spans="1:44" ht="14" x14ac:dyDescent="0.15">
      <c r="A54" s="70" t="str">
        <f>'SA Oct 2022'!K31</f>
        <v>AGL</v>
      </c>
      <c r="B54" s="49" t="str">
        <f>'SA Oct 2022'!L31</f>
        <v>Value Saver</v>
      </c>
      <c r="C54" s="46">
        <f>IF('SA Oct 2022'!BP31=0,91*'SA Oct 2022'!M31/100,(91*'SA Oct 2022'!M31/100)+'SA Oct 2022'!BP31/4)</f>
        <v>111.21027272727271</v>
      </c>
      <c r="D54" s="46">
        <f>IF('SA Oct 2022'!O31="",$C$48*$C$49*'SA Oct 2022'!N31/100,IF($C$48*$C$49&gt;='SA Oct 2022'!P31,('SA Oct 2022'!P31*'SA Oct 2022'!N31/100),($C$48*$C$49*'SA Oct 2022'!N31/100)))</f>
        <v>581.45454545454538</v>
      </c>
      <c r="E54" s="46">
        <f>IF(AND('SA Oct 2022'!P31&gt;0,'SA Oct 2022'!R31&gt;0),IF($C$48*$C$49&lt;'SA Oct 2022'!P31,0,IF($C$48*$C$49&lt;=('SA Oct 2022'!R31+'SA Oct 2022'!P31),(($C$48*$C$49-'SA Oct 2022'!P31)*'SA Oct 2022'!Q31/100),(('SA Oct 2022'!R31)*'SA Oct 2022'!Q31/100))),0)</f>
        <v>0</v>
      </c>
      <c r="F54" s="50">
        <f>IF(AND('SA Oct 2022'!R31&gt;0,'SA Oct 2022'!T31&gt;0),IF(($C$48*$C$49&lt;'SA Oct 2022'!T31),(0),($C$48*$C$49-'SA Oct 2022'!T31)*'SA Oct 2022'!U31/100),IF(AND('SA Oct 2022'!R31&gt;0,'SA Oct 2022'!T31=""),IF(($C$48*$C$49&lt;'SA Oct 2022'!R31+'SA Oct 2022'!P31),(0),(($C$48*$C$49-('SA Oct 2022'!R31+'SA Oct 2022'!P31))*'SA Oct 2022'!S31/100)),IF(AND('SA Oct 2022'!P31&gt;0,'SA Oct 2022'!R31=""&gt;0),IF(($C$48*$C$49&lt;'SA Oct 2022'!P31),(0),($C$48*$C$49-'SA Oct 2022'!P31)*'SA Oct 2022'!Q31/100),0)))</f>
        <v>0</v>
      </c>
      <c r="G54" s="328">
        <f>($C$48*$C$50)*'SA Oct 2022'!AI31/100</f>
        <v>645.4545454545455</v>
      </c>
      <c r="H54" s="51">
        <f>($C$48*$C$51)*'SA Oct 2022'!W31/100</f>
        <v>393.81818181818176</v>
      </c>
      <c r="I54" s="52">
        <f t="shared" ref="I54:I75" si="29">SUM(C54:H54)</f>
        <v>1731.9375454545454</v>
      </c>
      <c r="J54" s="109">
        <f t="shared" ref="J54:J75" si="30">(I54-C54)*4</f>
        <v>6482.909090909091</v>
      </c>
      <c r="K54" s="109">
        <f t="shared" ref="K54:K75" si="31">I54*4</f>
        <v>6927.7501818181818</v>
      </c>
      <c r="L54" s="53">
        <f t="shared" ref="L54:L72" si="32">K54*1.1</f>
        <v>7620.525200000001</v>
      </c>
      <c r="M54" s="54">
        <f>'SA Oct 2022'!BB31</f>
        <v>0</v>
      </c>
      <c r="N54" s="54">
        <f>'SA Oct 2022'!BC31</f>
        <v>0</v>
      </c>
      <c r="O54" s="54">
        <f>'SA Oct 2022'!BD31</f>
        <v>0</v>
      </c>
      <c r="P54" s="54">
        <f>'SA Oct 2022'!BE31</f>
        <v>0</v>
      </c>
      <c r="Q54" s="110" t="str">
        <f t="shared" ref="Q54:Q65" si="33">IF(SUM(M54:P54)=0,"No discount",IF(M54&gt;0,"Guaranteed off bill",IF(N54&gt;0,"Guaranteed off usage",IF(O54&gt;0,"Pay-on-time off bill","Pay-on-time off usage"))))</f>
        <v>No discount</v>
      </c>
      <c r="R54" s="73" t="str">
        <f t="shared" ref="R54:R75" si="34">IF(OR(A54="Origin Energy",A54="Red Energy",A54="Powershop"),"Inclusive","Exclusive")</f>
        <v>Exclusive</v>
      </c>
      <c r="S54" s="111">
        <f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6927.7501818181818</v>
      </c>
      <c r="T54" s="112">
        <f>IF(AND(Q54="Pay-on-time off bill",R54="Inclusive"),((S54*1.1)-((S54*1.1)*O54/100))/1.1,IF(AND(Q54="Pay-on-time off usage",R54="Inclusive"),((S54*1.1)-((J54*1.1)*P54/100))/1.1,IF(AND(Q54="Pay-on-time off bill",R54="Exclusive"),S54-(S54*O54/100),IF(AND(Q54="Pay-on-time off usage",R54="Exclusive"),S54-(J54*P54/100),IF(R54="Inclusive",((S54*1.1))/1.1,S54)))))</f>
        <v>6927.7501818181818</v>
      </c>
      <c r="U54" s="97">
        <f>S54*1.1</f>
        <v>7620.525200000001</v>
      </c>
      <c r="V54" s="98">
        <f>T54*1.1</f>
        <v>7620.525200000001</v>
      </c>
      <c r="W54" s="55">
        <f>'SA Oct 2022'!BL31</f>
        <v>12</v>
      </c>
      <c r="X54" s="56">
        <f>'SA Oct 2022'!BM31</f>
        <v>0</v>
      </c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361"/>
      <c r="AQ54" s="361"/>
      <c r="AR54" s="361"/>
    </row>
    <row r="55" spans="1:44" ht="15" thickBot="1" x14ac:dyDescent="0.2">
      <c r="A55" s="71" t="str">
        <f>'SA Oct 2022'!K32</f>
        <v>Circular Energy</v>
      </c>
      <c r="B55" s="57" t="str">
        <f>'SA Oct 2022'!L32</f>
        <v>Zero Member Fee Business</v>
      </c>
      <c r="C55" s="58">
        <f>IF('SA Oct 2022'!BP32=0,91*'SA Oct 2022'!M32/100,(91*'SA Oct 2022'!M32/100)+'SA Oct 2022'!BP32/4)</f>
        <v>124.3390909090909</v>
      </c>
      <c r="D55" s="58">
        <f>IF('SA Oct 2022'!O32="",$C$48*$C$49*'SA Oct 2022'!N32/100,IF($C$48*$C$49&gt;='SA Oct 2022'!P32,('SA Oct 2022'!P32*'SA Oct 2022'!N32/100),($C$48*$C$49*'SA Oct 2022'!N32/100)))</f>
        <v>586.36363636363637</v>
      </c>
      <c r="E55" s="58">
        <f>IF(AND('SA Oct 2022'!P32&gt;0,'SA Oct 2022'!R32&gt;0),IF($C$48*$C$49&lt;'SA Oct 2022'!P32,0,IF($C$48*$C$49&lt;=('SA Oct 2022'!R32+'SA Oct 2022'!P32),(($C$48*$C$49-'SA Oct 2022'!P32)*'SA Oct 2022'!Q32/100),(('SA Oct 2022'!R32)*'SA Oct 2022'!Q32/100))),0)</f>
        <v>0</v>
      </c>
      <c r="F55" s="59">
        <f>IF(AND('SA Oct 2022'!R32&gt;0,'SA Oct 2022'!T32&gt;0),IF(($C$48*$C$49&lt;'SA Oct 2022'!T32),(0),($C$48*$C$49-'SA Oct 2022'!T32)*'SA Oct 2022'!U32/100),IF(AND('SA Oct 2022'!R32&gt;0,'SA Oct 2022'!T32=""),IF(($C$48*$C$49&lt;'SA Oct 2022'!R32+'SA Oct 2022'!P32),(0),(($C$48*$C$49-('SA Oct 2022'!R32+'SA Oct 2022'!P32))*'SA Oct 2022'!S32/100)),IF(AND('SA Oct 2022'!P32&gt;0,'SA Oct 2022'!R32=""&gt;0),IF(($C$48*$C$49&lt;'SA Oct 2022'!P32),(0),($C$48*$C$49-'SA Oct 2022'!P32)*'SA Oct 2022'!Q32/100),0)))</f>
        <v>0</v>
      </c>
      <c r="G55" s="329">
        <f>($C$48*$C$50)*'SA Oct 2022'!AI32/100</f>
        <v>704.72727272727263</v>
      </c>
      <c r="H55" s="60">
        <f>($C$48*$C$51)*'SA Oct 2022'!W32/100</f>
        <v>370.90909090909082</v>
      </c>
      <c r="I55" s="61">
        <f t="shared" si="29"/>
        <v>1786.3390909090906</v>
      </c>
      <c r="J55" s="116">
        <f t="shared" si="30"/>
        <v>6647.9999999999991</v>
      </c>
      <c r="K55" s="116">
        <f t="shared" si="31"/>
        <v>7145.3563636363624</v>
      </c>
      <c r="L55" s="62">
        <f t="shared" si="32"/>
        <v>7859.8919999999989</v>
      </c>
      <c r="M55" s="63">
        <f>'SA Oct 2022'!BB32</f>
        <v>0</v>
      </c>
      <c r="N55" s="63">
        <f>'SA Oct 2022'!BC32</f>
        <v>0</v>
      </c>
      <c r="O55" s="63">
        <f>'SA Oct 2022'!BD32</f>
        <v>0</v>
      </c>
      <c r="P55" s="63">
        <f>'SA Oct 2022'!BE32</f>
        <v>0</v>
      </c>
      <c r="Q55" s="115" t="str">
        <f t="shared" si="33"/>
        <v>No discount</v>
      </c>
      <c r="R55" s="72" t="str">
        <f t="shared" si="34"/>
        <v>Exclusive</v>
      </c>
      <c r="S55" s="113">
        <f t="shared" ref="S55:S75" si="35">IF(AND(Q55="Guaranteed off bill",R55="Inclusive"),((K55*1.1)-((K55*1.1)*M55/100))/1.1,IF(AND(Q55="Guaranteed off usage",R55="Inclusive"),((K55*1.1)-((J55*1.1)*N55/100))/1.1,IF(AND(Q55="Guaranteed off bill",R55="Exclusive"),K55-(K55*M55/100),IF(AND(Q55="Guaranteed off usage",R55="Exclusive"),K55-(J55*N55/100),IF(R55="Inclusive",((K55*1.1))/1.1,K55)))))</f>
        <v>7145.3563636363624</v>
      </c>
      <c r="T55" s="114">
        <f t="shared" ref="T55:T75" si="36">IF(AND(Q55="Pay-on-time off bill",R55="Inclusive"),((S55*1.1)-((S55*1.1)*O55/100))/1.1,IF(AND(Q55="Pay-on-time off usage",R55="Inclusive"),((S55*1.1)-((J55*1.1)*P55/100))/1.1,IF(AND(Q55="Pay-on-time off bill",R55="Exclusive"),S55-(S55*O55/100),IF(AND(Q55="Pay-on-time off usage",R55="Exclusive"),S55-(J55*P55/100),IF(R55="Inclusive",((S55*1.1))/1.1,S55)))))</f>
        <v>7145.3563636363624</v>
      </c>
      <c r="U55" s="99">
        <f t="shared" ref="U55:V72" si="37">S55*1.1</f>
        <v>7859.8919999999989</v>
      </c>
      <c r="V55" s="100">
        <f t="shared" si="37"/>
        <v>7859.8919999999989</v>
      </c>
      <c r="W55" s="64">
        <f>'SA Oct 2022'!BL32</f>
        <v>0</v>
      </c>
      <c r="X55" s="65">
        <f>'SA Oct 2022'!BM32</f>
        <v>0</v>
      </c>
      <c r="Y55" s="361"/>
      <c r="Z55" s="361"/>
      <c r="AA55" s="361"/>
      <c r="AB55" s="361"/>
      <c r="AC55" s="361"/>
      <c r="AD55" s="361"/>
      <c r="AE55" s="361"/>
      <c r="AF55" s="361"/>
      <c r="AG55" s="361"/>
      <c r="AH55" s="361"/>
      <c r="AI55" s="361"/>
      <c r="AJ55" s="361"/>
      <c r="AK55" s="361"/>
      <c r="AL55" s="361"/>
      <c r="AM55" s="361"/>
      <c r="AN55" s="361"/>
      <c r="AO55" s="361"/>
      <c r="AP55" s="361"/>
      <c r="AQ55" s="361"/>
      <c r="AR55" s="361"/>
    </row>
    <row r="56" spans="1:44" ht="14" x14ac:dyDescent="0.15">
      <c r="A56" s="361"/>
      <c r="B56" s="361"/>
      <c r="C56" s="361"/>
      <c r="D56" s="362"/>
      <c r="E56" s="362"/>
      <c r="F56" s="362"/>
      <c r="G56" s="362"/>
      <c r="H56" s="362"/>
      <c r="I56" s="363"/>
      <c r="J56" s="363"/>
      <c r="K56" s="361"/>
      <c r="L56" s="361"/>
      <c r="M56" s="361"/>
      <c r="N56" s="361"/>
      <c r="O56" s="361"/>
      <c r="P56" s="361"/>
      <c r="Q56" s="361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1"/>
      <c r="AC56" s="361"/>
      <c r="AD56" s="361"/>
      <c r="AE56" s="361"/>
      <c r="AF56" s="361"/>
      <c r="AG56" s="361"/>
      <c r="AH56" s="361"/>
      <c r="AI56" s="361"/>
      <c r="AJ56" s="361"/>
      <c r="AK56" s="361"/>
      <c r="AL56" s="361"/>
      <c r="AM56" s="361"/>
      <c r="AN56" s="361"/>
      <c r="AO56" s="361"/>
      <c r="AP56" s="361"/>
      <c r="AQ56" s="361"/>
      <c r="AR56" s="361"/>
    </row>
    <row r="57" spans="1:44" ht="15" thickBot="1" x14ac:dyDescent="0.2">
      <c r="A57" s="361"/>
      <c r="B57" s="361"/>
      <c r="C57" s="361"/>
      <c r="D57" s="361"/>
      <c r="E57" s="361"/>
      <c r="F57" s="361"/>
      <c r="G57" s="362"/>
      <c r="H57" s="362"/>
      <c r="I57" s="363"/>
      <c r="J57" s="363"/>
      <c r="K57" s="361"/>
      <c r="L57" s="361"/>
      <c r="M57" s="361"/>
      <c r="N57" s="361"/>
      <c r="O57" s="361"/>
      <c r="P57" s="361"/>
      <c r="Q57" s="361"/>
      <c r="R57" s="361"/>
      <c r="S57" s="361"/>
      <c r="T57" s="361"/>
      <c r="U57" s="361"/>
      <c r="V57" s="361"/>
      <c r="W57" s="361"/>
      <c r="X57" s="361"/>
      <c r="Y57" s="361"/>
      <c r="Z57" s="361"/>
      <c r="AA57" s="361"/>
      <c r="AB57" s="361"/>
      <c r="AC57" s="361"/>
      <c r="AD57" s="361"/>
      <c r="AE57" s="361"/>
      <c r="AF57" s="361"/>
      <c r="AG57" s="361"/>
      <c r="AH57" s="361"/>
      <c r="AI57" s="361"/>
      <c r="AJ57" s="361"/>
      <c r="AK57" s="361"/>
      <c r="AL57" s="361"/>
      <c r="AM57" s="361"/>
      <c r="AN57" s="361"/>
      <c r="AO57" s="361"/>
      <c r="AP57" s="361"/>
      <c r="AQ57" s="361"/>
      <c r="AR57" s="361"/>
    </row>
    <row r="58" spans="1:44" ht="14" x14ac:dyDescent="0.15">
      <c r="A58" s="36" t="s">
        <v>417</v>
      </c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9"/>
      <c r="Y58" s="361"/>
      <c r="Z58" s="361"/>
      <c r="AA58" s="361"/>
      <c r="AB58" s="361"/>
      <c r="AC58" s="361"/>
      <c r="AD58" s="361"/>
      <c r="AE58" s="361"/>
      <c r="AF58" s="361"/>
      <c r="AG58" s="361"/>
      <c r="AH58" s="361"/>
      <c r="AI58" s="361"/>
      <c r="AJ58" s="361"/>
      <c r="AK58" s="361"/>
      <c r="AL58" s="361"/>
      <c r="AM58" s="361"/>
      <c r="AN58" s="361"/>
      <c r="AO58" s="361"/>
      <c r="AP58" s="361"/>
      <c r="AQ58" s="361"/>
      <c r="AR58" s="361"/>
    </row>
    <row r="59" spans="1:44" ht="14" x14ac:dyDescent="0.15">
      <c r="A59" s="40" t="s">
        <v>197</v>
      </c>
      <c r="B59" s="38"/>
      <c r="C59" s="47">
        <v>5000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41"/>
      <c r="Y59" s="361"/>
      <c r="Z59" s="361"/>
      <c r="AA59" s="361"/>
      <c r="AB59" s="361"/>
      <c r="AC59" s="361"/>
      <c r="AD59" s="361"/>
      <c r="AE59" s="361"/>
      <c r="AF59" s="361"/>
      <c r="AG59" s="361"/>
      <c r="AH59" s="361"/>
      <c r="AI59" s="361"/>
      <c r="AJ59" s="361"/>
      <c r="AK59" s="361"/>
      <c r="AL59" s="361"/>
      <c r="AM59" s="361"/>
      <c r="AN59" s="361"/>
      <c r="AO59" s="361"/>
      <c r="AP59" s="361"/>
      <c r="AQ59" s="361"/>
      <c r="AR59" s="361"/>
    </row>
    <row r="60" spans="1:44" ht="14" x14ac:dyDescent="0.15">
      <c r="A60" s="40" t="s">
        <v>85</v>
      </c>
      <c r="B60" s="38"/>
      <c r="C60" s="48">
        <v>0.6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  <c r="Y60" s="361"/>
      <c r="Z60" s="361"/>
      <c r="AA60" s="361"/>
      <c r="AB60" s="361"/>
      <c r="AC60" s="361"/>
      <c r="AD60" s="361"/>
      <c r="AE60" s="361"/>
      <c r="AF60" s="361"/>
      <c r="AG60" s="361"/>
      <c r="AH60" s="361"/>
      <c r="AI60" s="361"/>
      <c r="AJ60" s="361"/>
      <c r="AK60" s="361"/>
      <c r="AL60" s="361"/>
      <c r="AM60" s="361"/>
      <c r="AN60" s="361"/>
      <c r="AO60" s="361"/>
      <c r="AP60" s="361"/>
      <c r="AQ60" s="361"/>
      <c r="AR60" s="361"/>
    </row>
    <row r="61" spans="1:44" ht="14" x14ac:dyDescent="0.15">
      <c r="A61" s="40" t="s">
        <v>172</v>
      </c>
      <c r="B61" s="38"/>
      <c r="C61" s="48">
        <v>0.4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41"/>
      <c r="Y61" s="361"/>
      <c r="Z61" s="361"/>
      <c r="AA61" s="361"/>
      <c r="AB61" s="361"/>
      <c r="AC61" s="361"/>
      <c r="AD61" s="361"/>
      <c r="AE61" s="361"/>
      <c r="AF61" s="361"/>
      <c r="AG61" s="361"/>
      <c r="AH61" s="361"/>
      <c r="AI61" s="361"/>
      <c r="AJ61" s="361"/>
      <c r="AK61" s="361"/>
      <c r="AL61" s="361"/>
      <c r="AM61" s="361"/>
      <c r="AN61" s="361"/>
      <c r="AO61" s="361"/>
      <c r="AP61" s="361"/>
      <c r="AQ61" s="361"/>
      <c r="AR61" s="361"/>
    </row>
    <row r="62" spans="1:44" ht="14" x14ac:dyDescent="0.15">
      <c r="A62" s="40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41"/>
      <c r="Y62" s="361"/>
      <c r="Z62" s="361"/>
      <c r="AA62" s="361"/>
      <c r="AB62" s="361"/>
      <c r="AC62" s="361"/>
      <c r="AD62" s="361"/>
      <c r="AE62" s="361"/>
      <c r="AF62" s="361"/>
      <c r="AG62" s="361"/>
      <c r="AH62" s="361"/>
      <c r="AI62" s="361"/>
      <c r="AJ62" s="361"/>
      <c r="AK62" s="361"/>
      <c r="AL62" s="361"/>
      <c r="AM62" s="361"/>
      <c r="AN62" s="361"/>
      <c r="AO62" s="361"/>
      <c r="AP62" s="361"/>
      <c r="AQ62" s="361"/>
      <c r="AR62" s="361"/>
    </row>
    <row r="63" spans="1:44" ht="75" x14ac:dyDescent="0.15">
      <c r="A63" s="317" t="s">
        <v>216</v>
      </c>
      <c r="B63" s="272" t="s">
        <v>198</v>
      </c>
      <c r="C63" s="274" t="s">
        <v>199</v>
      </c>
      <c r="D63" s="274" t="s">
        <v>200</v>
      </c>
      <c r="E63" s="274" t="s">
        <v>201</v>
      </c>
      <c r="F63" s="274" t="s">
        <v>202</v>
      </c>
      <c r="G63" s="274" t="s">
        <v>164</v>
      </c>
      <c r="H63" s="274" t="s">
        <v>173</v>
      </c>
      <c r="I63" s="274" t="s">
        <v>165</v>
      </c>
      <c r="J63" s="275" t="s">
        <v>544</v>
      </c>
      <c r="K63" s="276" t="s">
        <v>166</v>
      </c>
      <c r="L63" s="277" t="s">
        <v>545</v>
      </c>
      <c r="M63" s="278" t="s">
        <v>167</v>
      </c>
      <c r="N63" s="278" t="s">
        <v>168</v>
      </c>
      <c r="O63" s="278" t="s">
        <v>169</v>
      </c>
      <c r="P63" s="278" t="s">
        <v>170</v>
      </c>
      <c r="Q63" s="279" t="s">
        <v>541</v>
      </c>
      <c r="R63" s="279" t="s">
        <v>542</v>
      </c>
      <c r="S63" s="280" t="s">
        <v>546</v>
      </c>
      <c r="T63" s="280" t="s">
        <v>547</v>
      </c>
      <c r="U63" s="281" t="s">
        <v>227</v>
      </c>
      <c r="V63" s="281" t="s">
        <v>272</v>
      </c>
      <c r="W63" s="278" t="s">
        <v>82</v>
      </c>
      <c r="X63" s="282" t="s">
        <v>83</v>
      </c>
      <c r="Y63" s="361"/>
      <c r="Z63" s="361"/>
      <c r="AA63" s="361"/>
      <c r="AB63" s="361"/>
      <c r="AC63" s="361"/>
      <c r="AD63" s="361"/>
      <c r="AE63" s="361"/>
      <c r="AF63" s="361"/>
      <c r="AG63" s="361"/>
      <c r="AH63" s="361"/>
      <c r="AI63" s="361"/>
      <c r="AJ63" s="361"/>
      <c r="AK63" s="361"/>
      <c r="AL63" s="361"/>
      <c r="AM63" s="361"/>
      <c r="AN63" s="361"/>
      <c r="AO63" s="361"/>
      <c r="AP63" s="361"/>
      <c r="AQ63" s="361"/>
      <c r="AR63" s="361"/>
    </row>
    <row r="64" spans="1:44" ht="14" x14ac:dyDescent="0.15">
      <c r="A64" s="70" t="str">
        <f>'SA Oct 2022'!K33</f>
        <v>Alinta Energy</v>
      </c>
      <c r="B64" s="49" t="str">
        <f>'SA Oct 2022'!L33</f>
        <v>BusinessDeal</v>
      </c>
      <c r="C64" s="46">
        <f>IF('SA Oct 2022'!BP33=0,91*'SA Oct 2022'!M33/100,(91*'SA Oct 2022'!M33/100)+'SA Oct 2022'!BP33/4)</f>
        <v>84.737545454545455</v>
      </c>
      <c r="D64" s="46">
        <f>IF('SA Oct 2022'!O33="",$C$59*$C$60*'SA Oct 2022'!N33/100,IF($C$59*$C$60&gt;='SA Oct 2022'!P33,('SA Oct 2022'!P33*'SA Oct 2022'!N33/100),($C$59*$C$60*'SA Oct 2022'!N33/100)))</f>
        <v>1394.9999999999998</v>
      </c>
      <c r="E64" s="46">
        <f>IF(AND('SA Oct 2022'!P33&gt;0,'SA Oct 2022'!R33&gt;0),IF($C$59*$C$60&lt;'SA Oct 2022'!P33,0,IF($C$59*$C$60&lt;=('SA Oct 2022'!R33+'SA Oct 2022'!P33),(($C$59*$C$60-'SA Oct 2022'!P33)*'SA Oct 2022'!Q33/100),(('SA Oct 2022'!R33)*'SA Oct 2022'!Q33/100))),0)</f>
        <v>0</v>
      </c>
      <c r="F64" s="50">
        <f>IF(AND('SA Oct 2022'!R33&gt;0,'SA Oct 2022'!T33&gt;0),IF(($C$59*$C$60&lt;'SA Oct 2022'!T33),(0),($C$59*$C$60-'SA Oct 2022'!T33)*'SA Oct 2022'!U33/100),IF(AND('SA Oct 2022'!R33&gt;0,'SA Oct 2022'!T33=""),IF(($C$59*$C$60&lt;'SA Oct 2022'!R33+'SA Oct 2022'!P33),(0),(($C$59*$C$60-('SA Oct 2022'!R33+'SA Oct 2022'!P33))*'SA Oct 2022'!S33/100)),IF(AND('SA Oct 2022'!P33&gt;0,'SA Oct 2022'!R33=""&gt;0),IF(($C$59*$C$60&lt;'SA Oct 2022'!P33),(0),($C$59*$C$60-'SA Oct 2022'!P33)*'SA Oct 2022'!Q33/100),0)))</f>
        <v>0</v>
      </c>
      <c r="G64" s="328">
        <v>0</v>
      </c>
      <c r="H64" s="51">
        <f>($C$59*$C$61)*'SA Oct 2022'!W33/100</f>
        <v>555.27272727272725</v>
      </c>
      <c r="I64" s="52">
        <f t="shared" si="29"/>
        <v>2035.0102727272724</v>
      </c>
      <c r="J64" s="109">
        <f t="shared" si="30"/>
        <v>7801.0909090909081</v>
      </c>
      <c r="K64" s="109">
        <f t="shared" si="31"/>
        <v>8140.0410909090897</v>
      </c>
      <c r="L64" s="53">
        <f t="shared" si="32"/>
        <v>8954.0451999999987</v>
      </c>
      <c r="M64" s="54">
        <f>'SA Oct 2022'!BB33</f>
        <v>0</v>
      </c>
      <c r="N64" s="54">
        <f>'SA Oct 2022'!BC33</f>
        <v>0</v>
      </c>
      <c r="O64" s="54">
        <f>'SA Oct 2022'!BD33</f>
        <v>0</v>
      </c>
      <c r="P64" s="54">
        <f>'SA Oct 2022'!BE33</f>
        <v>0</v>
      </c>
      <c r="Q64" s="110" t="str">
        <f t="shared" si="33"/>
        <v>No discount</v>
      </c>
      <c r="R64" s="73" t="str">
        <f t="shared" si="34"/>
        <v>Exclusive</v>
      </c>
      <c r="S64" s="111">
        <f t="shared" si="35"/>
        <v>8140.0410909090897</v>
      </c>
      <c r="T64" s="112">
        <f t="shared" si="36"/>
        <v>8140.0410909090897</v>
      </c>
      <c r="U64" s="97">
        <f t="shared" si="37"/>
        <v>8954.0451999999987</v>
      </c>
      <c r="V64" s="98">
        <f t="shared" si="37"/>
        <v>8954.0451999999987</v>
      </c>
      <c r="W64" s="55">
        <f>'SA Oct 2022'!BL33</f>
        <v>0</v>
      </c>
      <c r="X64" s="56">
        <f>'SA Oct 2022'!BM33</f>
        <v>0</v>
      </c>
      <c r="Y64" s="364"/>
      <c r="Z64" s="364"/>
      <c r="AA64" s="364"/>
      <c r="AB64" s="364"/>
      <c r="AC64" s="364"/>
      <c r="AD64" s="364"/>
      <c r="AE64" s="364"/>
      <c r="AF64" s="364"/>
      <c r="AG64" s="364"/>
      <c r="AH64" s="364"/>
      <c r="AI64" s="364"/>
      <c r="AJ64" s="364"/>
      <c r="AK64" s="364"/>
      <c r="AL64" s="364"/>
      <c r="AM64" s="364"/>
      <c r="AN64" s="364"/>
      <c r="AO64" s="364"/>
      <c r="AP64" s="364"/>
      <c r="AQ64" s="364"/>
      <c r="AR64" s="364"/>
    </row>
    <row r="65" spans="1:44" ht="14" x14ac:dyDescent="0.15">
      <c r="A65" s="70" t="str">
        <f>'SA Oct 2022'!K34</f>
        <v>Diamond Energy</v>
      </c>
      <c r="B65" s="49" t="str">
        <f>'SA Oct 2022'!L34</f>
        <v xml:space="preserve">Renewable Saver </v>
      </c>
      <c r="C65" s="46">
        <f>IF('SA Oct 2022'!BP34=0,91*'SA Oct 2022'!M34/100,(91*'SA Oct 2022'!M34/100)+'SA Oct 2022'!BP34/4)</f>
        <v>97.121818181818185</v>
      </c>
      <c r="D65" s="46">
        <f>IF('SA Oct 2022'!O34="",$C$59*$C$60*'SA Oct 2022'!N34/100,IF($C$59*$C$60&gt;='SA Oct 2022'!P34,('SA Oct 2022'!P34*'SA Oct 2022'!N34/100),($C$59*$C$60*'SA Oct 2022'!N34/100)))</f>
        <v>416.36363636363632</v>
      </c>
      <c r="E65" s="46">
        <f>IF(AND('SA Oct 2022'!P34&gt;0,'SA Oct 2022'!R34&gt;0),IF($C$59*$C$60&lt;'SA Oct 2022'!P34,0,IF($C$59*$C$60&lt;=('SA Oct 2022'!R34+'SA Oct 2022'!P34),(($C$59*$C$60-'SA Oct 2022'!P34)*'SA Oct 2022'!Q34/100),(('SA Oct 2022'!R34)*'SA Oct 2022'!Q34/100))),0)</f>
        <v>701.04545454545439</v>
      </c>
      <c r="F65" s="50">
        <f>IF(AND('SA Oct 2022'!R34&gt;0,'SA Oct 2022'!T34&gt;0),IF(($C$59*$C$60&lt;'SA Oct 2022'!T34),(0),($C$59*$C$60-'SA Oct 2022'!T34)*'SA Oct 2022'!U34/100),IF(AND('SA Oct 2022'!R34&gt;0,'SA Oct 2022'!T34=""),IF(($C$59*$C$60&lt;'SA Oct 2022'!R34+'SA Oct 2022'!P34),(0),(($C$59*$C$60-('SA Oct 2022'!R34+'SA Oct 2022'!P34))*'SA Oct 2022'!S34/100)),IF(AND('SA Oct 2022'!P34&gt;0,'SA Oct 2022'!R34=""&gt;0),IF(($C$59*$C$60&lt;'SA Oct 2022'!P34),(0),($C$59*$C$60-'SA Oct 2022'!P34)*'SA Oct 2022'!Q34/100),0)))</f>
        <v>251.36363636363632</v>
      </c>
      <c r="G65" s="328">
        <v>0</v>
      </c>
      <c r="H65" s="51">
        <f>($C$59*$C$61)*'SA Oct 2022'!W34/100</f>
        <v>541.09090909090912</v>
      </c>
      <c r="I65" s="52">
        <f t="shared" si="29"/>
        <v>2006.9854545454546</v>
      </c>
      <c r="J65" s="109">
        <f t="shared" si="30"/>
        <v>7639.454545454546</v>
      </c>
      <c r="K65" s="109">
        <f t="shared" si="31"/>
        <v>8027.9418181818182</v>
      </c>
      <c r="L65" s="53">
        <f t="shared" si="32"/>
        <v>8830.7360000000008</v>
      </c>
      <c r="M65" s="54">
        <f>'SA Oct 2022'!BB34</f>
        <v>0</v>
      </c>
      <c r="N65" s="54">
        <f>'SA Oct 2022'!BC34</f>
        <v>0</v>
      </c>
      <c r="O65" s="54">
        <f>'SA Oct 2022'!BD34</f>
        <v>2</v>
      </c>
      <c r="P65" s="54">
        <f>'SA Oct 2022'!BE34</f>
        <v>0</v>
      </c>
      <c r="Q65" s="110" t="str">
        <f t="shared" si="33"/>
        <v>Pay-on-time off bill</v>
      </c>
      <c r="R65" s="73" t="str">
        <f t="shared" si="34"/>
        <v>Exclusive</v>
      </c>
      <c r="S65" s="111">
        <f t="shared" si="35"/>
        <v>8027.9418181818182</v>
      </c>
      <c r="T65" s="112">
        <f t="shared" si="36"/>
        <v>7867.3829818181821</v>
      </c>
      <c r="U65" s="97">
        <f t="shared" si="37"/>
        <v>8830.7360000000008</v>
      </c>
      <c r="V65" s="98">
        <f t="shared" si="37"/>
        <v>8654.1212800000012</v>
      </c>
      <c r="W65" s="55">
        <f>'SA Oct 2022'!BL34</f>
        <v>0</v>
      </c>
      <c r="X65" s="56">
        <f>'SA Oct 2022'!BM34</f>
        <v>0</v>
      </c>
      <c r="Y65" s="361"/>
      <c r="Z65" s="361"/>
      <c r="AA65" s="361"/>
      <c r="AB65" s="361"/>
      <c r="AC65" s="361"/>
      <c r="AD65" s="361"/>
      <c r="AE65" s="361"/>
      <c r="AF65" s="361"/>
      <c r="AG65" s="361"/>
      <c r="AH65" s="361"/>
      <c r="AI65" s="361"/>
      <c r="AJ65" s="361"/>
      <c r="AK65" s="361"/>
      <c r="AL65" s="361"/>
      <c r="AM65" s="361"/>
      <c r="AN65" s="361"/>
      <c r="AO65" s="361"/>
      <c r="AP65" s="361"/>
      <c r="AQ65" s="361"/>
      <c r="AR65" s="361"/>
    </row>
    <row r="66" spans="1:44" ht="14" x14ac:dyDescent="0.15">
      <c r="A66" s="70" t="str">
        <f>'SA Oct 2022'!K35</f>
        <v>EnergyAustralia</v>
      </c>
      <c r="B66" s="49" t="str">
        <f>'SA Oct 2022'!L35</f>
        <v>Balance Plan</v>
      </c>
      <c r="C66" s="46">
        <f>IF('SA Oct 2022'!BP35=0,91*'SA Oct 2022'!M35/100,(91*'SA Oct 2022'!M35/100)+'SA Oct 2022'!BP35/4)</f>
        <v>98.734999999999985</v>
      </c>
      <c r="D66" s="46">
        <f>IF('SA Oct 2022'!O35="",$C$59*$C$60*'SA Oct 2022'!N35/100,IF($C$59*$C$60&gt;='SA Oct 2022'!P35,('SA Oct 2022'!P35*'SA Oct 2022'!N35/100),($C$59*$C$60*'SA Oct 2022'!N35/100)))</f>
        <v>1485</v>
      </c>
      <c r="E66" s="46">
        <f>IF(AND('SA Oct 2022'!P35&gt;0,'SA Oct 2022'!R35&gt;0),IF($C$59*$C$60&lt;'SA Oct 2022'!P35,0,IF($C$59*$C$60&lt;=('SA Oct 2022'!R35+'SA Oct 2022'!P35),(($C$59*$C$60-'SA Oct 2022'!P35)*'SA Oct 2022'!Q35/100),(('SA Oct 2022'!R35)*'SA Oct 2022'!Q35/100))),0)</f>
        <v>0</v>
      </c>
      <c r="F66" s="50">
        <f>IF(AND('SA Oct 2022'!R35&gt;0,'SA Oct 2022'!T35&gt;0),IF(($C$59*$C$60&lt;'SA Oct 2022'!T35),(0),($C$59*$C$60-'SA Oct 2022'!T35)*'SA Oct 2022'!U35/100),IF(AND('SA Oct 2022'!R35&gt;0,'SA Oct 2022'!T35=""),IF(($C$59*$C$60&lt;'SA Oct 2022'!R35+'SA Oct 2022'!P35),(0),(($C$59*$C$60-('SA Oct 2022'!R35+'SA Oct 2022'!P35))*'SA Oct 2022'!S35/100)),IF(AND('SA Oct 2022'!P35&gt;0,'SA Oct 2022'!R35=""&gt;0),IF(($C$59*$C$60&lt;'SA Oct 2022'!P35),(0),($C$59*$C$60-'SA Oct 2022'!P35)*'SA Oct 2022'!Q35/100),0)))</f>
        <v>0</v>
      </c>
      <c r="G66" s="328">
        <v>0</v>
      </c>
      <c r="H66" s="51">
        <f>($C$59*$C$61)*'SA Oct 2022'!W35/100</f>
        <v>574.5454545454545</v>
      </c>
      <c r="I66" s="52">
        <f t="shared" si="29"/>
        <v>2158.2804545454546</v>
      </c>
      <c r="J66" s="109">
        <f t="shared" si="30"/>
        <v>8238.181818181818</v>
      </c>
      <c r="K66" s="109">
        <f t="shared" si="31"/>
        <v>8633.1218181818185</v>
      </c>
      <c r="L66" s="53">
        <f t="shared" si="32"/>
        <v>9496.4340000000011</v>
      </c>
      <c r="M66" s="54">
        <f>'SA Oct 2022'!BB35</f>
        <v>2</v>
      </c>
      <c r="N66" s="54">
        <f>'SA Oct 2022'!BC35</f>
        <v>0</v>
      </c>
      <c r="O66" s="54">
        <f>'SA Oct 2022'!BD35</f>
        <v>0</v>
      </c>
      <c r="P66" s="54">
        <f>'SA Oct 2022'!BE35</f>
        <v>0</v>
      </c>
      <c r="Q66" s="110" t="str">
        <f t="shared" ref="Q66:Q72" si="38">IF(SUM(M66:P66)=0,"No discount",IF(M66&gt;0,"Guaranteed off bill",IF(N66&gt;0,"Guaranteed off usage",IF(O66&gt;0,"Pay-on-time off bill","Pay-on-time off usage"))))</f>
        <v>Guaranteed off bill</v>
      </c>
      <c r="R66" s="73" t="str">
        <f t="shared" si="34"/>
        <v>Exclusive</v>
      </c>
      <c r="S66" s="111">
        <f t="shared" si="35"/>
        <v>8460.459381818182</v>
      </c>
      <c r="T66" s="112">
        <f t="shared" si="36"/>
        <v>8460.459381818182</v>
      </c>
      <c r="U66" s="97">
        <f t="shared" si="37"/>
        <v>9306.5053200000002</v>
      </c>
      <c r="V66" s="98">
        <f t="shared" si="37"/>
        <v>9306.5053200000002</v>
      </c>
      <c r="W66" s="55">
        <f>'SA Oct 2022'!BL35</f>
        <v>0</v>
      </c>
      <c r="X66" s="56">
        <f>'SA Oct 2022'!BM35</f>
        <v>0</v>
      </c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</row>
    <row r="67" spans="1:44" ht="14" x14ac:dyDescent="0.15">
      <c r="A67" s="70" t="str">
        <f>'SA Oct 2022'!K36</f>
        <v>Lumo Energy</v>
      </c>
      <c r="B67" s="49" t="str">
        <f>'SA Oct 2022'!L36</f>
        <v>Basic</v>
      </c>
      <c r="C67" s="46">
        <f>IF('SA Oct 2022'!BP36=0,91*'SA Oct 2022'!M36/100,(91*'SA Oct 2022'!M36/100)+'SA Oct 2022'!BP36/4)</f>
        <v>118.3</v>
      </c>
      <c r="D67" s="46">
        <f>IF('SA Oct 2022'!O36="",$C$59*$C$60*'SA Oct 2022'!N36/100,IF($C$59*$C$60&gt;='SA Oct 2022'!P36,('SA Oct 2022'!P36*'SA Oct 2022'!N36/100),($C$59*$C$60*'SA Oct 2022'!N36/100)))</f>
        <v>1168.6363636363635</v>
      </c>
      <c r="E67" s="46">
        <f>IF(AND('SA Oct 2022'!P36&gt;0,'SA Oct 2022'!R36&gt;0),IF($C$59*$C$60&lt;'SA Oct 2022'!P36,0,IF($C$59*$C$60&lt;=('SA Oct 2022'!R36+'SA Oct 2022'!P36),(($C$59*$C$60-'SA Oct 2022'!P36)*'SA Oct 2022'!Q36/100),(('SA Oct 2022'!R36)*'SA Oct 2022'!Q36/100))),0)</f>
        <v>0</v>
      </c>
      <c r="F67" s="50">
        <f>IF(AND('SA Oct 2022'!R36&gt;0,'SA Oct 2022'!T36&gt;0),IF(($C$59*$C$60&lt;'SA Oct 2022'!T36),(0),($C$59*$C$60-'SA Oct 2022'!T36)*'SA Oct 2022'!U36/100),IF(AND('SA Oct 2022'!R36&gt;0,'SA Oct 2022'!T36=""),IF(($C$59*$C$60&lt;'SA Oct 2022'!R36+'SA Oct 2022'!P36),(0),(($C$59*$C$60-('SA Oct 2022'!R36+'SA Oct 2022'!P36))*'SA Oct 2022'!S36/100)),IF(AND('SA Oct 2022'!P36&gt;0,'SA Oct 2022'!R36=""&gt;0),IF(($C$59*$C$60&lt;'SA Oct 2022'!P36),(0),($C$59*$C$60-'SA Oct 2022'!P36)*'SA Oct 2022'!Q36/100),0)))</f>
        <v>0</v>
      </c>
      <c r="G67" s="328">
        <v>0</v>
      </c>
      <c r="H67" s="51">
        <f>($C$59*$C$61)*'SA Oct 2022'!W36/100</f>
        <v>499.63636363636363</v>
      </c>
      <c r="I67" s="52">
        <f t="shared" si="29"/>
        <v>1786.5727272727272</v>
      </c>
      <c r="J67" s="109">
        <f t="shared" si="30"/>
        <v>6673.090909090909</v>
      </c>
      <c r="K67" s="109">
        <f t="shared" si="31"/>
        <v>7146.2909090909088</v>
      </c>
      <c r="L67" s="53">
        <f t="shared" si="32"/>
        <v>7860.92</v>
      </c>
      <c r="M67" s="54">
        <f>'SA Oct 2022'!BB36</f>
        <v>0</v>
      </c>
      <c r="N67" s="54">
        <f>'SA Oct 2022'!BC36</f>
        <v>0</v>
      </c>
      <c r="O67" s="54">
        <f>'SA Oct 2022'!BD36</f>
        <v>0</v>
      </c>
      <c r="P67" s="54">
        <f>'SA Oct 2022'!BE36</f>
        <v>0</v>
      </c>
      <c r="Q67" s="110" t="str">
        <f t="shared" si="38"/>
        <v>No discount</v>
      </c>
      <c r="R67" s="73" t="str">
        <f t="shared" si="34"/>
        <v>Exclusive</v>
      </c>
      <c r="S67" s="111">
        <f t="shared" si="35"/>
        <v>7146.2909090909088</v>
      </c>
      <c r="T67" s="112">
        <f t="shared" si="36"/>
        <v>7146.2909090909088</v>
      </c>
      <c r="U67" s="97">
        <f t="shared" si="37"/>
        <v>7860.92</v>
      </c>
      <c r="V67" s="98">
        <f t="shared" si="37"/>
        <v>7860.92</v>
      </c>
      <c r="W67" s="55">
        <f>'SA Oct 2022'!BL36</f>
        <v>0</v>
      </c>
      <c r="X67" s="56">
        <f>'SA Oct 2022'!BM36</f>
        <v>0</v>
      </c>
      <c r="Y67" s="361"/>
      <c r="Z67" s="364"/>
      <c r="AA67" s="361"/>
      <c r="AB67" s="364"/>
      <c r="AC67" s="361"/>
      <c r="AD67" s="364"/>
      <c r="AE67" s="361"/>
      <c r="AF67" s="364"/>
      <c r="AG67" s="361"/>
      <c r="AH67" s="364"/>
      <c r="AI67" s="361"/>
      <c r="AJ67" s="364"/>
      <c r="AK67" s="361"/>
      <c r="AL67" s="364"/>
      <c r="AM67" s="361"/>
      <c r="AN67" s="364"/>
      <c r="AO67" s="361"/>
      <c r="AP67" s="364"/>
      <c r="AQ67" s="361"/>
      <c r="AR67" s="364"/>
    </row>
    <row r="68" spans="1:44" ht="14" x14ac:dyDescent="0.15">
      <c r="A68" s="70" t="str">
        <f>'SA Oct 2022'!K37</f>
        <v>Origin Energy</v>
      </c>
      <c r="B68" s="49" t="str">
        <f>'SA Oct 2022'!L37</f>
        <v>Go Variable</v>
      </c>
      <c r="C68" s="46">
        <f>IF('SA Oct 2022'!BP37=0,91*'SA Oct 2022'!M37/100,(91*'SA Oct 2022'!M37/100)+'SA Oct 2022'!BP37/4)</f>
        <v>83.562818181818187</v>
      </c>
      <c r="D68" s="46">
        <f>IF('SA Oct 2022'!O37="",$C$59*$C$60*'SA Oct 2022'!N37/100,IF($C$59*$C$60&gt;='SA Oct 2022'!P37,('SA Oct 2022'!P37*'SA Oct 2022'!N37/100),($C$59*$C$60*'SA Oct 2022'!N37/100)))</f>
        <v>1137.8181818181815</v>
      </c>
      <c r="E68" s="46">
        <f>IF(AND('SA Oct 2022'!P37&gt;0,'SA Oct 2022'!R37&gt;0),IF($C$59*$C$60&lt;'SA Oct 2022'!P37,0,IF($C$59*$C$60&lt;=('SA Oct 2022'!R37+'SA Oct 2022'!P37),(($C$59*$C$60-'SA Oct 2022'!P37)*'SA Oct 2022'!Q37/100),(('SA Oct 2022'!R37)*'SA Oct 2022'!Q37/100))),0)</f>
        <v>0</v>
      </c>
      <c r="F68" s="50">
        <f>IF(AND('SA Oct 2022'!R37&gt;0,'SA Oct 2022'!T37&gt;0),IF(($C$59*$C$60&lt;'SA Oct 2022'!T37),(0),($C$59*$C$60-'SA Oct 2022'!T37)*'SA Oct 2022'!U37/100),IF(AND('SA Oct 2022'!R37&gt;0,'SA Oct 2022'!T37=""),IF(($C$59*$C$60&lt;'SA Oct 2022'!R37+'SA Oct 2022'!P37),(0),(($C$59*$C$60-('SA Oct 2022'!R37+'SA Oct 2022'!P37))*'SA Oct 2022'!S37/100)),IF(AND('SA Oct 2022'!P37&gt;0,'SA Oct 2022'!R37=""&gt;0),IF(($C$59*$C$60&lt;'SA Oct 2022'!P37),(0),($C$59*$C$60-'SA Oct 2022'!P37)*'SA Oct 2022'!Q37/100),0)))</f>
        <v>0</v>
      </c>
      <c r="G68" s="328">
        <v>0</v>
      </c>
      <c r="H68" s="51">
        <f>($C$59*$C$61)*'SA Oct 2022'!W37/100</f>
        <v>492.90909090909088</v>
      </c>
      <c r="I68" s="52">
        <f t="shared" si="29"/>
        <v>1714.2900909090904</v>
      </c>
      <c r="J68" s="109">
        <f t="shared" si="30"/>
        <v>6522.9090909090892</v>
      </c>
      <c r="K68" s="109">
        <f t="shared" si="31"/>
        <v>6857.1603636363616</v>
      </c>
      <c r="L68" s="53">
        <f t="shared" si="32"/>
        <v>7542.8763999999983</v>
      </c>
      <c r="M68" s="54">
        <f>'SA Oct 2022'!BB37</f>
        <v>0</v>
      </c>
      <c r="N68" s="54">
        <f>'SA Oct 2022'!BC37</f>
        <v>0</v>
      </c>
      <c r="O68" s="54">
        <f>'SA Oct 2022'!BD37</f>
        <v>0</v>
      </c>
      <c r="P68" s="54">
        <f>'SA Oct 2022'!BE37</f>
        <v>0</v>
      </c>
      <c r="Q68" s="110" t="str">
        <f t="shared" si="38"/>
        <v>No discount</v>
      </c>
      <c r="R68" s="73" t="str">
        <f t="shared" si="34"/>
        <v>Inclusive</v>
      </c>
      <c r="S68" s="111">
        <f t="shared" si="35"/>
        <v>6857.1603636363616</v>
      </c>
      <c r="T68" s="112">
        <f t="shared" si="36"/>
        <v>6857.1603636363616</v>
      </c>
      <c r="U68" s="97">
        <f t="shared" si="37"/>
        <v>7542.8763999999983</v>
      </c>
      <c r="V68" s="98">
        <f t="shared" si="37"/>
        <v>7542.8763999999983</v>
      </c>
      <c r="W68" s="55">
        <f>'SA Oct 2022'!BL37</f>
        <v>0</v>
      </c>
      <c r="X68" s="56">
        <f>'SA Oct 2022'!BM37</f>
        <v>0</v>
      </c>
      <c r="Y68" s="361"/>
      <c r="Z68" s="364"/>
      <c r="AA68" s="361"/>
      <c r="AB68" s="364"/>
      <c r="AC68" s="361"/>
      <c r="AD68" s="364"/>
      <c r="AE68" s="361"/>
      <c r="AF68" s="364"/>
      <c r="AG68" s="361"/>
      <c r="AH68" s="364"/>
      <c r="AI68" s="361"/>
      <c r="AJ68" s="364"/>
      <c r="AK68" s="361"/>
      <c r="AL68" s="364"/>
      <c r="AM68" s="361"/>
      <c r="AN68" s="364"/>
      <c r="AO68" s="361"/>
      <c r="AP68" s="364"/>
      <c r="AQ68" s="361"/>
      <c r="AR68" s="364"/>
    </row>
    <row r="69" spans="1:44" ht="14" x14ac:dyDescent="0.15">
      <c r="A69" s="70" t="str">
        <f>'SA Oct 2022'!K38</f>
        <v>Red Energy</v>
      </c>
      <c r="B69" s="49" t="str">
        <f>'SA Oct 2022'!L38</f>
        <v>Red Business Saver</v>
      </c>
      <c r="C69" s="46">
        <f>IF('SA Oct 2022'!BP38=0,91*'SA Oct 2022'!M38/100,(91*'SA Oct 2022'!M38/100)+'SA Oct 2022'!BP38/4)</f>
        <v>118.3</v>
      </c>
      <c r="D69" s="46">
        <f>IF('SA Oct 2022'!O38="",$C$59*$C$60*'SA Oct 2022'!N38/100,IF($C$59*$C$60&gt;='SA Oct 2022'!P38,('SA Oct 2022'!P38*'SA Oct 2022'!N38/100),($C$59*$C$60*'SA Oct 2022'!N38/100)))</f>
        <v>1168.6363636363635</v>
      </c>
      <c r="E69" s="46">
        <f>IF(AND('SA Oct 2022'!P38&gt;0,'SA Oct 2022'!R38&gt;0),IF($C$59*$C$60&lt;'SA Oct 2022'!P38,0,IF($C$59*$C$60&lt;=('SA Oct 2022'!R38+'SA Oct 2022'!P38),(($C$59*$C$60-'SA Oct 2022'!P38)*'SA Oct 2022'!Q38/100),(('SA Oct 2022'!R38)*'SA Oct 2022'!Q38/100))),0)</f>
        <v>0</v>
      </c>
      <c r="F69" s="50">
        <f>IF(AND('SA Oct 2022'!R38&gt;0,'SA Oct 2022'!T38&gt;0),IF(($C$59*$C$60&lt;'SA Oct 2022'!T38),(0),($C$59*$C$60-'SA Oct 2022'!T38)*'SA Oct 2022'!U38/100),IF(AND('SA Oct 2022'!R38&gt;0,'SA Oct 2022'!T38=""),IF(($C$59*$C$60&lt;'SA Oct 2022'!R38+'SA Oct 2022'!P38),(0),(($C$59*$C$60-('SA Oct 2022'!R38+'SA Oct 2022'!P38))*'SA Oct 2022'!S38/100)),IF(AND('SA Oct 2022'!P38&gt;0,'SA Oct 2022'!R38=""&gt;0),IF(($C$59*$C$60&lt;'SA Oct 2022'!P38),(0),($C$59*$C$60-'SA Oct 2022'!P38)*'SA Oct 2022'!Q38/100),0)))</f>
        <v>0</v>
      </c>
      <c r="G69" s="328">
        <v>0</v>
      </c>
      <c r="H69" s="51">
        <f>($C$59*$C$61)*'SA Oct 2022'!W38/100</f>
        <v>499.63636363636363</v>
      </c>
      <c r="I69" s="52">
        <f t="shared" si="29"/>
        <v>1786.5727272727272</v>
      </c>
      <c r="J69" s="109">
        <f t="shared" si="30"/>
        <v>6673.090909090909</v>
      </c>
      <c r="K69" s="109">
        <f t="shared" si="31"/>
        <v>7146.2909090909088</v>
      </c>
      <c r="L69" s="53">
        <f t="shared" si="32"/>
        <v>7860.92</v>
      </c>
      <c r="M69" s="54">
        <f>'SA Oct 2022'!BB38</f>
        <v>0</v>
      </c>
      <c r="N69" s="54">
        <f>'SA Oct 2022'!BC38</f>
        <v>0</v>
      </c>
      <c r="O69" s="54">
        <f>'SA Oct 2022'!BD38</f>
        <v>0</v>
      </c>
      <c r="P69" s="54">
        <f>'SA Oct 2022'!BE38</f>
        <v>0</v>
      </c>
      <c r="Q69" s="110" t="str">
        <f t="shared" si="38"/>
        <v>No discount</v>
      </c>
      <c r="R69" s="73" t="str">
        <f t="shared" si="34"/>
        <v>Inclusive</v>
      </c>
      <c r="S69" s="111">
        <f t="shared" si="35"/>
        <v>7146.2909090909088</v>
      </c>
      <c r="T69" s="112">
        <f t="shared" si="36"/>
        <v>7146.2909090909088</v>
      </c>
      <c r="U69" s="97">
        <f t="shared" si="37"/>
        <v>7860.92</v>
      </c>
      <c r="V69" s="98">
        <f t="shared" si="37"/>
        <v>7860.92</v>
      </c>
      <c r="W69" s="55">
        <f>'SA Oct 2022'!BL38</f>
        <v>0</v>
      </c>
      <c r="X69" s="56">
        <f>'SA Oct 2022'!BM38</f>
        <v>0</v>
      </c>
      <c r="Y69" s="361"/>
      <c r="Z69" s="364"/>
      <c r="AA69" s="361"/>
      <c r="AB69" s="364"/>
      <c r="AC69" s="361"/>
      <c r="AD69" s="364"/>
      <c r="AE69" s="361"/>
      <c r="AF69" s="364"/>
      <c r="AG69" s="361"/>
      <c r="AH69" s="364"/>
      <c r="AI69" s="361"/>
      <c r="AJ69" s="364"/>
      <c r="AK69" s="361"/>
      <c r="AL69" s="364"/>
      <c r="AM69" s="361"/>
      <c r="AN69" s="364"/>
      <c r="AO69" s="361"/>
      <c r="AP69" s="364"/>
      <c r="AQ69" s="361"/>
      <c r="AR69" s="364"/>
    </row>
    <row r="70" spans="1:44" ht="14" x14ac:dyDescent="0.15">
      <c r="A70" s="70" t="str">
        <f>'SA Oct 2022'!K39</f>
        <v>Simply Energy</v>
      </c>
      <c r="B70" s="49" t="str">
        <f>'SA Oct 2022'!L39</f>
        <v>Business Basic</v>
      </c>
      <c r="C70" s="46">
        <f>IF('SA Oct 2022'!BP39=0,91*'SA Oct 2022'!M39/100,(91*'SA Oct 2022'!M39/100)+'SA Oct 2022'!BP39/4)</f>
        <v>96.989454545454535</v>
      </c>
      <c r="D70" s="46">
        <f>IF('SA Oct 2022'!O39="",$C$59*$C$60*'SA Oct 2022'!N39/100,IF($C$59*$C$60&gt;='SA Oct 2022'!P39,('SA Oct 2022'!P39*'SA Oct 2022'!N39/100),($C$59*$C$60*'SA Oct 2022'!N39/100)))</f>
        <v>1383.5454545454545</v>
      </c>
      <c r="E70" s="46">
        <f>IF(AND('SA Oct 2022'!P39&gt;0,'SA Oct 2022'!R39&gt;0),IF($C$59*$C$60&lt;'SA Oct 2022'!P39,0,IF($C$59*$C$60&lt;=('SA Oct 2022'!R39+'SA Oct 2022'!P39),(($C$59*$C$60-'SA Oct 2022'!P39)*'SA Oct 2022'!Q39/100),(('SA Oct 2022'!R39)*'SA Oct 2022'!Q39/100))),0)</f>
        <v>0</v>
      </c>
      <c r="F70" s="50">
        <f>IF(AND('SA Oct 2022'!R39&gt;0,'SA Oct 2022'!T39&gt;0),IF(($C$59*$C$60&lt;'SA Oct 2022'!T39),(0),($C$59*$C$60-'SA Oct 2022'!T39)*'SA Oct 2022'!U39/100),IF(AND('SA Oct 2022'!R39&gt;0,'SA Oct 2022'!T39=""),IF(($C$59*$C$60&lt;'SA Oct 2022'!R39+'SA Oct 2022'!P39),(0),(($C$59*$C$60-('SA Oct 2022'!R39+'SA Oct 2022'!P39))*'SA Oct 2022'!S39/100)),IF(AND('SA Oct 2022'!P39&gt;0,'SA Oct 2022'!R39=""&gt;0),IF(($C$59*$C$60&lt;'SA Oct 2022'!P39),(0),($C$59*$C$60-'SA Oct 2022'!P39)*'SA Oct 2022'!Q39/100),0)))</f>
        <v>0</v>
      </c>
      <c r="G70" s="328">
        <v>0</v>
      </c>
      <c r="H70" s="51">
        <f>($C$59*$C$61)*'SA Oct 2022'!W39/100</f>
        <v>542.5454545454545</v>
      </c>
      <c r="I70" s="52">
        <f t="shared" si="29"/>
        <v>2023.0803636363635</v>
      </c>
      <c r="J70" s="109">
        <f t="shared" si="30"/>
        <v>7704.363636363636</v>
      </c>
      <c r="K70" s="109">
        <f t="shared" si="31"/>
        <v>8092.3214545454539</v>
      </c>
      <c r="L70" s="53">
        <f t="shared" si="32"/>
        <v>8901.5535999999993</v>
      </c>
      <c r="M70" s="54">
        <f>'SA Oct 2022'!BB39</f>
        <v>0</v>
      </c>
      <c r="N70" s="54">
        <f>'SA Oct 2022'!BC39</f>
        <v>0</v>
      </c>
      <c r="O70" s="54">
        <f>'SA Oct 2022'!BD39</f>
        <v>0</v>
      </c>
      <c r="P70" s="54">
        <f>'SA Oct 2022'!BE39</f>
        <v>0</v>
      </c>
      <c r="Q70" s="110" t="str">
        <f t="shared" si="38"/>
        <v>No discount</v>
      </c>
      <c r="R70" s="73" t="str">
        <f t="shared" si="34"/>
        <v>Exclusive</v>
      </c>
      <c r="S70" s="111">
        <f t="shared" si="35"/>
        <v>8092.3214545454539</v>
      </c>
      <c r="T70" s="112">
        <f t="shared" si="36"/>
        <v>8092.3214545454539</v>
      </c>
      <c r="U70" s="97">
        <f t="shared" si="37"/>
        <v>8901.5535999999993</v>
      </c>
      <c r="V70" s="98">
        <f t="shared" si="37"/>
        <v>8901.5535999999993</v>
      </c>
      <c r="W70" s="55">
        <f>'SA Oct 2022'!BL39</f>
        <v>0</v>
      </c>
      <c r="X70" s="56">
        <f>'SA Oct 2022'!BM39</f>
        <v>0</v>
      </c>
      <c r="Y70" s="361"/>
      <c r="Z70" s="364"/>
      <c r="AA70" s="361"/>
      <c r="AB70" s="364"/>
      <c r="AC70" s="361"/>
      <c r="AD70" s="364"/>
      <c r="AE70" s="361"/>
      <c r="AF70" s="364"/>
      <c r="AG70" s="361"/>
      <c r="AH70" s="364"/>
      <c r="AI70" s="361"/>
      <c r="AJ70" s="364"/>
      <c r="AK70" s="361"/>
      <c r="AL70" s="364"/>
      <c r="AM70" s="361"/>
      <c r="AN70" s="364"/>
      <c r="AO70" s="361"/>
      <c r="AP70" s="364"/>
      <c r="AQ70" s="361"/>
      <c r="AR70" s="364"/>
    </row>
    <row r="71" spans="1:44" ht="14" x14ac:dyDescent="0.15">
      <c r="A71" s="70" t="str">
        <f>'SA Oct 2022'!K40</f>
        <v>Powershop</v>
      </c>
      <c r="B71" s="49" t="str">
        <f>'SA Oct 2022'!L40</f>
        <v>Carbon Neutral</v>
      </c>
      <c r="C71" s="46">
        <f>IF('SA Oct 2022'!BP40=0,91*'SA Oct 2022'!M40/100,(91*'SA Oct 2022'!M40/100)+'SA Oct 2022'!BP40/4)</f>
        <v>126.14254545454543</v>
      </c>
      <c r="D71" s="46">
        <f>IF('SA Oct 2022'!O40="",$C$59*$C$60*'SA Oct 2022'!N40/100,IF($C$59*$C$60&gt;='SA Oct 2022'!P40,('SA Oct 2022'!P40*'SA Oct 2022'!N40/100),($C$59*$C$60*'SA Oct 2022'!N40/100)))</f>
        <v>1209.5454545454545</v>
      </c>
      <c r="E71" s="46">
        <f>IF(AND('SA Oct 2022'!P40&gt;0,'SA Oct 2022'!R40&gt;0),IF($C$59*$C$60&lt;'SA Oct 2022'!P40,0,IF($C$59*$C$60&lt;=('SA Oct 2022'!R40+'SA Oct 2022'!P40),(($C$59*$C$60-'SA Oct 2022'!P40)*'SA Oct 2022'!Q40/100),(('SA Oct 2022'!R40)*'SA Oct 2022'!Q40/100))),0)</f>
        <v>0</v>
      </c>
      <c r="F71" s="50">
        <f>IF(AND('SA Oct 2022'!R40&gt;0,'SA Oct 2022'!T40&gt;0),IF(($C$59*$C$60&lt;'SA Oct 2022'!T40),(0),($C$59*$C$60-'SA Oct 2022'!T40)*'SA Oct 2022'!U40/100),IF(AND('SA Oct 2022'!R40&gt;0,'SA Oct 2022'!T40=""),IF(($C$59*$C$60&lt;'SA Oct 2022'!R40+'SA Oct 2022'!P40),(0),(($C$59*$C$60-('SA Oct 2022'!R40+'SA Oct 2022'!P40))*'SA Oct 2022'!S40/100)),IF(AND('SA Oct 2022'!P40&gt;0,'SA Oct 2022'!R40=""&gt;0),IF(($C$59*$C$60&lt;'SA Oct 2022'!P40),(0),($C$59*$C$60-'SA Oct 2022'!P40)*'SA Oct 2022'!Q40/100),0)))</f>
        <v>0</v>
      </c>
      <c r="G71" s="328">
        <v>0</v>
      </c>
      <c r="H71" s="51">
        <f>($C$59*$C$61)*'SA Oct 2022'!W40/100</f>
        <v>567.27272727272725</v>
      </c>
      <c r="I71" s="52">
        <f t="shared" si="29"/>
        <v>1902.9607272727271</v>
      </c>
      <c r="J71" s="109">
        <f t="shared" si="30"/>
        <v>7107.272727272727</v>
      </c>
      <c r="K71" s="109">
        <f t="shared" si="31"/>
        <v>7611.8429090909085</v>
      </c>
      <c r="L71" s="53">
        <f t="shared" si="32"/>
        <v>8373.0272000000004</v>
      </c>
      <c r="M71" s="54">
        <f>'SA Oct 2022'!BB40</f>
        <v>0</v>
      </c>
      <c r="N71" s="54">
        <f>'SA Oct 2022'!BC40</f>
        <v>0</v>
      </c>
      <c r="O71" s="54">
        <f>'SA Oct 2022'!BD40</f>
        <v>0</v>
      </c>
      <c r="P71" s="54">
        <f>'SA Oct 2022'!BE40</f>
        <v>0</v>
      </c>
      <c r="Q71" s="110" t="str">
        <f t="shared" si="38"/>
        <v>No discount</v>
      </c>
      <c r="R71" s="73" t="str">
        <f t="shared" si="34"/>
        <v>Inclusive</v>
      </c>
      <c r="S71" s="111">
        <f t="shared" si="35"/>
        <v>7611.8429090909085</v>
      </c>
      <c r="T71" s="112">
        <f t="shared" si="36"/>
        <v>7611.8429090909085</v>
      </c>
      <c r="U71" s="97">
        <f t="shared" si="37"/>
        <v>8373.0272000000004</v>
      </c>
      <c r="V71" s="98">
        <f t="shared" si="37"/>
        <v>8373.0272000000004</v>
      </c>
      <c r="W71" s="55">
        <f>'SA Oct 2022'!BL40</f>
        <v>0</v>
      </c>
      <c r="X71" s="56">
        <f>'SA Oct 2022'!BM40</f>
        <v>0</v>
      </c>
      <c r="Y71" s="361"/>
      <c r="Z71" s="361"/>
      <c r="AA71" s="361"/>
      <c r="AB71" s="361"/>
      <c r="AC71" s="361"/>
      <c r="AD71" s="361"/>
      <c r="AE71" s="361"/>
      <c r="AF71" s="361"/>
      <c r="AG71" s="361"/>
      <c r="AH71" s="361"/>
      <c r="AI71" s="361"/>
      <c r="AJ71" s="361"/>
      <c r="AK71" s="361"/>
      <c r="AL71" s="361"/>
      <c r="AM71" s="361"/>
      <c r="AN71" s="361"/>
      <c r="AO71" s="361"/>
      <c r="AP71" s="361"/>
      <c r="AQ71" s="361"/>
      <c r="AR71" s="361"/>
    </row>
    <row r="72" spans="1:44" ht="14" x14ac:dyDescent="0.15">
      <c r="A72" s="70" t="str">
        <f>'SA Oct 2022'!K41</f>
        <v>Energy Locals</v>
      </c>
      <c r="B72" s="49" t="str">
        <f>'SA Oct 2022'!L41</f>
        <v>Business Member</v>
      </c>
      <c r="C72" s="46">
        <f>IF('SA Oct 2022'!BP41=0,91*'SA Oct 2022'!M41/100,(91*'SA Oct 2022'!M41/100)+'SA Oct 2022'!BP41/4)</f>
        <v>107.90454545454544</v>
      </c>
      <c r="D72" s="46">
        <f>IF('SA Oct 2022'!O41="",$C$59*$C$60*'SA Oct 2022'!N41/100,IF($C$59*$C$60&gt;='SA Oct 2022'!P41,('SA Oct 2022'!P41*'SA Oct 2022'!N41/100),($C$59*$C$60*'SA Oct 2022'!N41/100)))</f>
        <v>1077.2727272727273</v>
      </c>
      <c r="E72" s="46">
        <f>IF(AND('SA Oct 2022'!P41&gt;0,'SA Oct 2022'!R41&gt;0),IF($C$59*$C$60&lt;'SA Oct 2022'!P41,0,IF($C$59*$C$60&lt;=('SA Oct 2022'!R41+'SA Oct 2022'!P41),(($C$59*$C$60-'SA Oct 2022'!P41)*'SA Oct 2022'!Q41/100),(('SA Oct 2022'!R41)*'SA Oct 2022'!Q41/100))),0)</f>
        <v>0</v>
      </c>
      <c r="F72" s="50">
        <f>IF(AND('SA Oct 2022'!R41&gt;0,'SA Oct 2022'!T41&gt;0),IF(($C$59*$C$60&lt;'SA Oct 2022'!T41),(0),($C$59*$C$60-'SA Oct 2022'!T41)*'SA Oct 2022'!U41/100),IF(AND('SA Oct 2022'!R41&gt;0,'SA Oct 2022'!T41=""),IF(($C$59*$C$60&lt;'SA Oct 2022'!R41+'SA Oct 2022'!P41),(0),(($C$59*$C$60-('SA Oct 2022'!R41+'SA Oct 2022'!P41))*'SA Oct 2022'!S41/100)),IF(AND('SA Oct 2022'!P41&gt;0,'SA Oct 2022'!R41=""&gt;0),IF(($C$59*$C$60&lt;'SA Oct 2022'!P41),(0),($C$59*$C$60-'SA Oct 2022'!P41)*'SA Oct 2022'!Q41/100),0)))</f>
        <v>0</v>
      </c>
      <c r="G72" s="328">
        <v>0</v>
      </c>
      <c r="H72" s="51">
        <f>($C$59*$C$61)*'SA Oct 2022'!W41/100</f>
        <v>499.99999999999994</v>
      </c>
      <c r="I72" s="52">
        <f t="shared" si="29"/>
        <v>1685.1772727272728</v>
      </c>
      <c r="J72" s="109">
        <f t="shared" si="30"/>
        <v>6309.090909090909</v>
      </c>
      <c r="K72" s="109">
        <f t="shared" si="31"/>
        <v>6740.7090909090912</v>
      </c>
      <c r="L72" s="53">
        <f t="shared" si="32"/>
        <v>7414.7800000000007</v>
      </c>
      <c r="M72" s="54">
        <f>'SA Oct 2022'!BB41</f>
        <v>0</v>
      </c>
      <c r="N72" s="54">
        <f>'SA Oct 2022'!BC41</f>
        <v>0</v>
      </c>
      <c r="O72" s="54">
        <f>'SA Oct 2022'!BD41</f>
        <v>0</v>
      </c>
      <c r="P72" s="54">
        <f>'SA Oct 2022'!BE41</f>
        <v>0</v>
      </c>
      <c r="Q72" s="110" t="str">
        <f t="shared" si="38"/>
        <v>No discount</v>
      </c>
      <c r="R72" s="73" t="str">
        <f t="shared" si="34"/>
        <v>Exclusive</v>
      </c>
      <c r="S72" s="111">
        <f t="shared" si="35"/>
        <v>6740.7090909090912</v>
      </c>
      <c r="T72" s="112">
        <f t="shared" si="36"/>
        <v>6740.7090909090912</v>
      </c>
      <c r="U72" s="97">
        <f t="shared" si="37"/>
        <v>7414.7800000000007</v>
      </c>
      <c r="V72" s="98">
        <f t="shared" si="37"/>
        <v>7414.7800000000007</v>
      </c>
      <c r="W72" s="55">
        <f>'SA Oct 2022'!BL41</f>
        <v>0</v>
      </c>
      <c r="X72" s="56">
        <f>'SA Oct 2022'!BM41</f>
        <v>0</v>
      </c>
      <c r="Y72" s="361"/>
      <c r="Z72" s="361"/>
      <c r="AA72" s="361"/>
      <c r="AB72" s="361"/>
      <c r="AC72" s="361"/>
      <c r="AD72" s="361"/>
      <c r="AE72" s="361"/>
      <c r="AF72" s="361"/>
      <c r="AG72" s="361"/>
      <c r="AH72" s="361"/>
      <c r="AI72" s="361"/>
      <c r="AJ72" s="361"/>
      <c r="AK72" s="361"/>
      <c r="AL72" s="361"/>
      <c r="AM72" s="361"/>
      <c r="AN72" s="361"/>
      <c r="AO72" s="361"/>
      <c r="AP72" s="361"/>
      <c r="AQ72" s="361"/>
      <c r="AR72" s="361"/>
    </row>
    <row r="73" spans="1:44" ht="14" x14ac:dyDescent="0.15">
      <c r="A73" s="70" t="str">
        <f>'SA Oct 2022'!K42</f>
        <v>ReAmped Energy</v>
      </c>
      <c r="B73" s="49" t="str">
        <f>'SA Oct 2022'!L42</f>
        <v>Business</v>
      </c>
      <c r="C73" s="46">
        <f>IF('SA Oct 2022'!BP42=0,91*'SA Oct 2022'!M42/100,(91*'SA Oct 2022'!M42/100)+'SA Oct 2022'!BP42/4)</f>
        <v>116.92672727272726</v>
      </c>
      <c r="D73" s="46">
        <f>IF('SA Oct 2022'!O42="",$C$59*$C$60*'SA Oct 2022'!N42/100,IF($C$59*$C$60&gt;='SA Oct 2022'!P42,('SA Oct 2022'!P42*'SA Oct 2022'!N42/100),($C$59*$C$60*'SA Oct 2022'!N42/100)))</f>
        <v>1453.0909090909088</v>
      </c>
      <c r="E73" s="46">
        <f>IF(AND('SA Oct 2022'!P42&gt;0,'SA Oct 2022'!R42&gt;0),IF($C$59*$C$60&lt;'SA Oct 2022'!P42,0,IF($C$59*$C$60&lt;=('SA Oct 2022'!R42+'SA Oct 2022'!P42),(($C$59*$C$60-'SA Oct 2022'!P42)*'SA Oct 2022'!Q42/100),(('SA Oct 2022'!R42)*'SA Oct 2022'!Q42/100))),0)</f>
        <v>0</v>
      </c>
      <c r="F73" s="50">
        <f>IF(AND('SA Oct 2022'!R42&gt;0,'SA Oct 2022'!T42&gt;0),IF(($C$59*$C$60&lt;'SA Oct 2022'!T42),(0),($C$59*$C$60-'SA Oct 2022'!T42)*'SA Oct 2022'!U42/100),IF(AND('SA Oct 2022'!R42&gt;0,'SA Oct 2022'!T42=""),IF(($C$59*$C$60&lt;'SA Oct 2022'!R42+'SA Oct 2022'!P42),(0),(($C$59*$C$60-('SA Oct 2022'!R42+'SA Oct 2022'!P42))*'SA Oct 2022'!S42/100)),IF(AND('SA Oct 2022'!P42&gt;0,'SA Oct 2022'!R42=""&gt;0),IF(($C$59*$C$60&lt;'SA Oct 2022'!P42),(0),($C$59*$C$60-'SA Oct 2022'!P42)*'SA Oct 2022'!Q42/100),0)))</f>
        <v>0</v>
      </c>
      <c r="G73" s="328">
        <v>0</v>
      </c>
      <c r="H73" s="51">
        <f>($C$59*$C$61)*'SA Oct 2022'!W42/100</f>
        <v>672</v>
      </c>
      <c r="I73" s="52">
        <f t="shared" si="29"/>
        <v>2242.017636363636</v>
      </c>
      <c r="J73" s="109">
        <f t="shared" si="30"/>
        <v>8500.3636363636342</v>
      </c>
      <c r="K73" s="109">
        <f t="shared" si="31"/>
        <v>8968.0705454545441</v>
      </c>
      <c r="L73" s="53">
        <f t="shared" ref="L73:L75" si="39">K73*1.1</f>
        <v>9864.8775999999998</v>
      </c>
      <c r="M73" s="54">
        <f>'SA Oct 2022'!BB42</f>
        <v>0</v>
      </c>
      <c r="N73" s="54">
        <f>'SA Oct 2022'!BC42</f>
        <v>0</v>
      </c>
      <c r="O73" s="54">
        <f>'SA Oct 2022'!BD42</f>
        <v>0</v>
      </c>
      <c r="P73" s="54">
        <f>'SA Oct 2022'!BE42</f>
        <v>0</v>
      </c>
      <c r="Q73" s="110" t="str">
        <f t="shared" ref="Q73:Q75" si="40">IF(SUM(M73:P73)=0,"No discount",IF(M73&gt;0,"Guaranteed off bill",IF(N73&gt;0,"Guaranteed off usage",IF(O73&gt;0,"Pay-on-time off bill","Pay-on-time off usage"))))</f>
        <v>No discount</v>
      </c>
      <c r="R73" s="73" t="str">
        <f t="shared" si="34"/>
        <v>Exclusive</v>
      </c>
      <c r="S73" s="111">
        <f t="shared" si="35"/>
        <v>8968.0705454545441</v>
      </c>
      <c r="T73" s="112">
        <f t="shared" si="36"/>
        <v>8968.0705454545441</v>
      </c>
      <c r="U73" s="97">
        <f t="shared" ref="U73:V75" si="41">S73*1.1</f>
        <v>9864.8775999999998</v>
      </c>
      <c r="V73" s="98">
        <f t="shared" si="41"/>
        <v>9864.8775999999998</v>
      </c>
      <c r="W73" s="55">
        <f>'SA Oct 2022'!BL42</f>
        <v>0</v>
      </c>
      <c r="X73" s="56">
        <f>'SA Oct 2022'!BM42</f>
        <v>0</v>
      </c>
      <c r="Y73" s="361"/>
      <c r="Z73" s="361"/>
      <c r="AA73" s="361"/>
      <c r="AB73" s="361"/>
      <c r="AC73" s="361"/>
      <c r="AD73" s="361"/>
      <c r="AE73" s="361"/>
      <c r="AF73" s="361"/>
      <c r="AG73" s="361"/>
      <c r="AH73" s="361"/>
      <c r="AI73" s="361"/>
      <c r="AJ73" s="361"/>
      <c r="AK73" s="361"/>
      <c r="AL73" s="361"/>
      <c r="AM73" s="361"/>
      <c r="AN73" s="361"/>
      <c r="AO73" s="361"/>
      <c r="AP73" s="361"/>
      <c r="AQ73" s="361"/>
      <c r="AR73" s="361"/>
    </row>
    <row r="74" spans="1:44" ht="14" x14ac:dyDescent="0.15">
      <c r="A74" s="70" t="str">
        <f>'SA Oct 2022'!K43</f>
        <v>CovaU</v>
      </c>
      <c r="B74" s="49" t="str">
        <f>'SA Oct 2022'!L43</f>
        <v>Freedom</v>
      </c>
      <c r="C74" s="46">
        <f>IF('SA Oct 2022'!BP43=0,91*'SA Oct 2022'!M43/100,(91*'SA Oct 2022'!M43/100)+'SA Oct 2022'!BP43/4)</f>
        <v>90.09</v>
      </c>
      <c r="D74" s="46">
        <f>IF('SA Oct 2022'!O43="",$C$59*$C$60*'SA Oct 2022'!N43/100,IF($C$59*$C$60&gt;='SA Oct 2022'!P43,('SA Oct 2022'!P43*'SA Oct 2022'!N43/100),($C$59*$C$60*'SA Oct 2022'!N43/100)))</f>
        <v>1670.4545454545453</v>
      </c>
      <c r="E74" s="46">
        <f>IF(AND('SA Oct 2022'!P43&gt;0,'SA Oct 2022'!R43&gt;0),IF($C$59*$C$60&lt;'SA Oct 2022'!P43,0,IF($C$59*$C$60&lt;=('SA Oct 2022'!R43+'SA Oct 2022'!P43),(($C$59*$C$60-'SA Oct 2022'!P43)*'SA Oct 2022'!Q43/100),(('SA Oct 2022'!R43)*'SA Oct 2022'!Q43/100))),0)</f>
        <v>0</v>
      </c>
      <c r="F74" s="50">
        <f>IF(AND('SA Oct 2022'!R43&gt;0,'SA Oct 2022'!T43&gt;0),IF(($C$59*$C$60&lt;'SA Oct 2022'!T43),(0),($C$59*$C$60-'SA Oct 2022'!T43)*'SA Oct 2022'!U43/100),IF(AND('SA Oct 2022'!R43&gt;0,'SA Oct 2022'!T43=""),IF(($C$59*$C$60&lt;'SA Oct 2022'!R43+'SA Oct 2022'!P43),(0),(($C$59*$C$60-('SA Oct 2022'!R43+'SA Oct 2022'!P43))*'SA Oct 2022'!S43/100)),IF(AND('SA Oct 2022'!P43&gt;0,'SA Oct 2022'!R43=""&gt;0),IF(($C$59*$C$60&lt;'SA Oct 2022'!P43),(0),($C$59*$C$60-'SA Oct 2022'!P43)*'SA Oct 2022'!Q43/100),0)))</f>
        <v>0</v>
      </c>
      <c r="G74" s="328">
        <v>0</v>
      </c>
      <c r="H74" s="51">
        <f>($C$59*$C$61)*'SA Oct 2022'!W43/100</f>
        <v>752.5454545454545</v>
      </c>
      <c r="I74" s="52">
        <f t="shared" si="29"/>
        <v>2513.0899999999997</v>
      </c>
      <c r="J74" s="109">
        <f t="shared" si="30"/>
        <v>9691.9999999999982</v>
      </c>
      <c r="K74" s="109">
        <f t="shared" si="31"/>
        <v>10052.359999999999</v>
      </c>
      <c r="L74" s="53">
        <f t="shared" si="39"/>
        <v>11057.596</v>
      </c>
      <c r="M74" s="54">
        <f>'SA Oct 2022'!BB43</f>
        <v>0</v>
      </c>
      <c r="N74" s="54">
        <f>'SA Oct 2022'!BC43</f>
        <v>5</v>
      </c>
      <c r="O74" s="54">
        <f>'SA Oct 2022'!BD43</f>
        <v>0</v>
      </c>
      <c r="P74" s="54">
        <f>'SA Oct 2022'!BE43</f>
        <v>0</v>
      </c>
      <c r="Q74" s="110" t="str">
        <f t="shared" si="40"/>
        <v>Guaranteed off usage</v>
      </c>
      <c r="R74" s="73" t="str">
        <f t="shared" si="34"/>
        <v>Exclusive</v>
      </c>
      <c r="S74" s="111">
        <f t="shared" si="35"/>
        <v>9567.7599999999984</v>
      </c>
      <c r="T74" s="112">
        <f t="shared" si="36"/>
        <v>9567.7599999999984</v>
      </c>
      <c r="U74" s="97">
        <f t="shared" si="41"/>
        <v>10524.535999999998</v>
      </c>
      <c r="V74" s="98">
        <f t="shared" si="41"/>
        <v>10524.535999999998</v>
      </c>
      <c r="W74" s="55">
        <f>'SA Oct 2022'!BL43</f>
        <v>0</v>
      </c>
      <c r="X74" s="56">
        <f>'SA Oct 2022'!BM43</f>
        <v>0</v>
      </c>
      <c r="Y74" s="361"/>
      <c r="Z74" s="361"/>
      <c r="AA74" s="361"/>
      <c r="AB74" s="361"/>
      <c r="AC74" s="361"/>
      <c r="AD74" s="361"/>
      <c r="AE74" s="361"/>
      <c r="AF74" s="361"/>
      <c r="AG74" s="361"/>
      <c r="AH74" s="361"/>
      <c r="AI74" s="361"/>
      <c r="AJ74" s="361"/>
      <c r="AK74" s="361"/>
      <c r="AL74" s="361"/>
      <c r="AM74" s="361"/>
      <c r="AN74" s="361"/>
      <c r="AO74" s="361"/>
      <c r="AP74" s="361"/>
      <c r="AQ74" s="361"/>
      <c r="AR74" s="361"/>
    </row>
    <row r="75" spans="1:44" ht="14" x14ac:dyDescent="0.15">
      <c r="A75" s="70" t="str">
        <f>'SA Oct 2022'!K44</f>
        <v>Sumo Power</v>
      </c>
      <c r="B75" s="49" t="str">
        <f>'SA Oct 2022'!L44</f>
        <v>Freedom Business</v>
      </c>
      <c r="C75" s="46">
        <f>IF('SA Oct 2022'!BP44=0,91*'SA Oct 2022'!M44/100,(91*'SA Oct 2022'!M44/100)+'SA Oct 2022'!BP44/4)</f>
        <v>104.64999999999998</v>
      </c>
      <c r="D75" s="46">
        <f>IF('SA Oct 2022'!O44="",$C$59*$C$60*'SA Oct 2022'!N44/100,IF($C$59*$C$60&gt;='SA Oct 2022'!P44,('SA Oct 2022'!P44*'SA Oct 2022'!N44/100),($C$59*$C$60*'SA Oct 2022'!N44/100)))</f>
        <v>1005</v>
      </c>
      <c r="E75" s="46">
        <f>IF(AND('SA Oct 2022'!P44&gt;0,'SA Oct 2022'!R44&gt;0),IF($C$59*$C$60&lt;'SA Oct 2022'!P44,0,IF($C$59*$C$60&lt;=('SA Oct 2022'!R44+'SA Oct 2022'!P44),(($C$59*$C$60-'SA Oct 2022'!P44)*'SA Oct 2022'!Q44/100),(('SA Oct 2022'!R44)*'SA Oct 2022'!Q44/100))),0)</f>
        <v>0</v>
      </c>
      <c r="F75" s="50">
        <f>IF(AND('SA Oct 2022'!R44&gt;0,'SA Oct 2022'!T44&gt;0),IF(($C$59*$C$60&lt;'SA Oct 2022'!T44),(0),($C$59*$C$60-'SA Oct 2022'!T44)*'SA Oct 2022'!U44/100),IF(AND('SA Oct 2022'!R44&gt;0,'SA Oct 2022'!T44=""),IF(($C$59*$C$60&lt;'SA Oct 2022'!R44+'SA Oct 2022'!P44),(0),(($C$59*$C$60-('SA Oct 2022'!R44+'SA Oct 2022'!P44))*'SA Oct 2022'!S44/100)),IF(AND('SA Oct 2022'!P44&gt;0,'SA Oct 2022'!R44=""&gt;0),IF(($C$59*$C$60&lt;'SA Oct 2022'!P44),(0),($C$59*$C$60-'SA Oct 2022'!P44)*'SA Oct 2022'!Q44/100),0)))</f>
        <v>0</v>
      </c>
      <c r="G75" s="328">
        <v>0</v>
      </c>
      <c r="H75" s="51">
        <f>($C$59*$C$61)*'SA Oct 2022'!W44/100</f>
        <v>448</v>
      </c>
      <c r="I75" s="52">
        <f t="shared" si="29"/>
        <v>1557.65</v>
      </c>
      <c r="J75" s="109">
        <f t="shared" si="30"/>
        <v>5812</v>
      </c>
      <c r="K75" s="109">
        <f t="shared" si="31"/>
        <v>6230.6</v>
      </c>
      <c r="L75" s="53">
        <f t="shared" si="39"/>
        <v>6853.6600000000008</v>
      </c>
      <c r="M75" s="54">
        <f>'SA Oct 2022'!BB44</f>
        <v>0</v>
      </c>
      <c r="N75" s="54">
        <f>'SA Oct 2022'!BC44</f>
        <v>0</v>
      </c>
      <c r="O75" s="54">
        <f>'SA Oct 2022'!BD44</f>
        <v>0</v>
      </c>
      <c r="P75" s="54">
        <f>'SA Oct 2022'!BE44</f>
        <v>0</v>
      </c>
      <c r="Q75" s="110" t="str">
        <f t="shared" si="40"/>
        <v>No discount</v>
      </c>
      <c r="R75" s="73" t="str">
        <f t="shared" si="34"/>
        <v>Exclusive</v>
      </c>
      <c r="S75" s="111">
        <f t="shared" si="35"/>
        <v>6230.6</v>
      </c>
      <c r="T75" s="112">
        <f t="shared" si="36"/>
        <v>6230.6</v>
      </c>
      <c r="U75" s="97">
        <f t="shared" si="41"/>
        <v>6853.6600000000008</v>
      </c>
      <c r="V75" s="98">
        <f t="shared" si="41"/>
        <v>6853.6600000000008</v>
      </c>
      <c r="W75" s="55">
        <f>'SA Oct 2022'!BL44</f>
        <v>0</v>
      </c>
      <c r="X75" s="56">
        <f>'SA Oct 2022'!BM44</f>
        <v>0</v>
      </c>
      <c r="Y75" s="361"/>
      <c r="Z75" s="361"/>
      <c r="AA75" s="361"/>
      <c r="AB75" s="361"/>
      <c r="AC75" s="361"/>
      <c r="AD75" s="361"/>
      <c r="AE75" s="361"/>
      <c r="AF75" s="361"/>
      <c r="AG75" s="361"/>
      <c r="AH75" s="361"/>
      <c r="AI75" s="361"/>
      <c r="AJ75" s="361"/>
      <c r="AK75" s="361"/>
      <c r="AL75" s="361"/>
      <c r="AM75" s="361"/>
      <c r="AN75" s="361"/>
      <c r="AO75" s="361"/>
      <c r="AP75" s="361"/>
      <c r="AQ75" s="361"/>
      <c r="AR75" s="361"/>
    </row>
    <row r="76" spans="1:44" ht="14" x14ac:dyDescent="0.15">
      <c r="A76" s="361"/>
      <c r="B76" s="361"/>
      <c r="C76" s="361"/>
      <c r="D76" s="362"/>
      <c r="E76" s="362"/>
      <c r="F76" s="362"/>
      <c r="G76" s="362"/>
      <c r="H76" s="362"/>
      <c r="I76" s="363"/>
      <c r="J76" s="363"/>
      <c r="K76" s="361"/>
      <c r="L76" s="361"/>
      <c r="M76" s="361"/>
      <c r="N76" s="361"/>
      <c r="O76" s="361"/>
      <c r="P76" s="361"/>
      <c r="Q76" s="361"/>
      <c r="R76" s="361"/>
      <c r="S76" s="361"/>
      <c r="T76" s="361"/>
      <c r="U76" s="361"/>
      <c r="V76" s="361"/>
      <c r="W76" s="361"/>
      <c r="X76" s="361"/>
      <c r="Y76" s="361"/>
      <c r="Z76" s="361"/>
      <c r="AA76" s="361"/>
      <c r="AB76" s="361"/>
      <c r="AC76" s="361"/>
      <c r="AD76" s="361"/>
      <c r="AE76" s="361"/>
      <c r="AF76" s="361"/>
      <c r="AG76" s="361"/>
      <c r="AH76" s="361"/>
      <c r="AI76" s="361"/>
      <c r="AJ76" s="361"/>
      <c r="AK76" s="361"/>
      <c r="AL76" s="361"/>
      <c r="AM76" s="361"/>
      <c r="AN76" s="361"/>
      <c r="AO76" s="361"/>
      <c r="AP76" s="361"/>
      <c r="AQ76" s="361"/>
      <c r="AR76" s="361"/>
    </row>
    <row r="77" spans="1:44" ht="14" x14ac:dyDescent="0.15">
      <c r="A77" s="361"/>
      <c r="B77" s="361"/>
      <c r="C77" s="361"/>
      <c r="D77" s="361"/>
      <c r="E77" s="361"/>
      <c r="F77" s="361"/>
      <c r="G77" s="362"/>
      <c r="H77" s="362"/>
      <c r="I77" s="363"/>
      <c r="J77" s="363"/>
      <c r="K77" s="361"/>
      <c r="L77" s="361"/>
      <c r="M77" s="361"/>
      <c r="N77" s="361"/>
      <c r="O77" s="361"/>
      <c r="P77" s="361"/>
      <c r="Q77" s="361"/>
      <c r="R77" s="361"/>
      <c r="S77" s="361"/>
      <c r="T77" s="361"/>
      <c r="U77" s="361"/>
      <c r="V77" s="361"/>
      <c r="W77" s="361"/>
      <c r="X77" s="361"/>
      <c r="Y77" s="361"/>
      <c r="Z77" s="361"/>
      <c r="AA77" s="361"/>
      <c r="AB77" s="361"/>
      <c r="AC77" s="361"/>
      <c r="AD77" s="361"/>
      <c r="AE77" s="361"/>
      <c r="AF77" s="361"/>
      <c r="AG77" s="361"/>
      <c r="AH77" s="361"/>
      <c r="AI77" s="361"/>
      <c r="AJ77" s="361"/>
      <c r="AK77" s="361"/>
      <c r="AL77" s="361"/>
      <c r="AM77" s="361"/>
      <c r="AN77" s="361"/>
      <c r="AO77" s="361"/>
      <c r="AP77" s="361"/>
      <c r="AQ77" s="361"/>
      <c r="AR77" s="361"/>
    </row>
    <row r="78" spans="1:44" ht="14" x14ac:dyDescent="0.15">
      <c r="A78" s="361"/>
      <c r="B78" s="361"/>
      <c r="C78" s="361"/>
      <c r="D78" s="362"/>
      <c r="E78" s="362"/>
      <c r="F78" s="362"/>
      <c r="G78" s="362"/>
      <c r="H78" s="362"/>
      <c r="I78" s="363"/>
      <c r="J78" s="363"/>
      <c r="K78" s="361"/>
      <c r="L78" s="361"/>
      <c r="M78" s="361"/>
      <c r="N78" s="361"/>
      <c r="O78" s="361"/>
      <c r="P78" s="361"/>
      <c r="Q78" s="361"/>
      <c r="R78" s="361"/>
      <c r="S78" s="361"/>
      <c r="T78" s="361"/>
      <c r="U78" s="361"/>
      <c r="V78" s="361"/>
      <c r="W78" s="361"/>
      <c r="X78" s="361"/>
      <c r="Y78" s="361"/>
      <c r="Z78" s="361"/>
      <c r="AA78" s="361"/>
      <c r="AB78" s="361"/>
      <c r="AC78" s="361"/>
      <c r="AD78" s="361"/>
      <c r="AE78" s="361"/>
      <c r="AF78" s="361"/>
      <c r="AG78" s="361"/>
      <c r="AH78" s="361"/>
      <c r="AI78" s="361"/>
      <c r="AJ78" s="361"/>
      <c r="AK78" s="361"/>
      <c r="AL78" s="361"/>
      <c r="AM78" s="361"/>
      <c r="AN78" s="361"/>
      <c r="AO78" s="361"/>
      <c r="AP78" s="361"/>
      <c r="AQ78" s="361"/>
      <c r="AR78" s="361"/>
    </row>
    <row r="79" spans="1:44" ht="14" x14ac:dyDescent="0.15">
      <c r="A79" s="361"/>
      <c r="B79" s="361"/>
      <c r="C79" s="361"/>
      <c r="D79" s="361"/>
      <c r="E79" s="361"/>
      <c r="F79" s="361"/>
      <c r="G79" s="362"/>
      <c r="H79" s="362"/>
      <c r="I79" s="363"/>
      <c r="J79" s="363"/>
      <c r="K79" s="361"/>
      <c r="L79" s="361"/>
      <c r="M79" s="361"/>
      <c r="N79" s="361"/>
      <c r="O79" s="361"/>
      <c r="P79" s="361"/>
      <c r="Q79" s="361"/>
      <c r="R79" s="361"/>
      <c r="S79" s="361"/>
      <c r="T79" s="361"/>
      <c r="U79" s="361"/>
      <c r="V79" s="361"/>
      <c r="W79" s="361"/>
      <c r="X79" s="361"/>
      <c r="Y79" s="361"/>
      <c r="Z79" s="361"/>
      <c r="AA79" s="361"/>
      <c r="AB79" s="361"/>
      <c r="AC79" s="361"/>
      <c r="AD79" s="361"/>
      <c r="AE79" s="361"/>
      <c r="AF79" s="361"/>
      <c r="AG79" s="361"/>
      <c r="AH79" s="361"/>
      <c r="AI79" s="361"/>
      <c r="AJ79" s="361"/>
      <c r="AK79" s="361"/>
      <c r="AL79" s="361"/>
      <c r="AM79" s="361"/>
      <c r="AN79" s="361"/>
      <c r="AO79" s="361"/>
      <c r="AP79" s="361"/>
      <c r="AQ79" s="361"/>
      <c r="AR79" s="361"/>
    </row>
    <row r="80" spans="1:44" ht="14" x14ac:dyDescent="0.15">
      <c r="A80" s="361"/>
      <c r="B80" s="361"/>
      <c r="C80" s="361"/>
      <c r="D80" s="362"/>
      <c r="E80" s="362"/>
      <c r="F80" s="362"/>
      <c r="G80" s="362"/>
      <c r="H80" s="362"/>
      <c r="I80" s="363"/>
      <c r="J80" s="363"/>
      <c r="K80" s="361"/>
      <c r="L80" s="361"/>
      <c r="M80" s="361"/>
      <c r="N80" s="361"/>
      <c r="O80" s="361"/>
      <c r="P80" s="361"/>
      <c r="Q80" s="361"/>
      <c r="R80" s="361"/>
      <c r="S80" s="361"/>
      <c r="T80" s="361"/>
      <c r="U80" s="361"/>
      <c r="V80" s="361"/>
      <c r="W80" s="361"/>
      <c r="X80" s="361"/>
      <c r="Y80" s="361"/>
      <c r="Z80" s="361"/>
      <c r="AA80" s="361"/>
      <c r="AB80" s="361"/>
      <c r="AC80" s="361"/>
      <c r="AD80" s="361"/>
      <c r="AE80" s="361"/>
      <c r="AF80" s="361"/>
      <c r="AG80" s="361"/>
      <c r="AH80" s="361"/>
      <c r="AI80" s="361"/>
      <c r="AJ80" s="361"/>
      <c r="AK80" s="361"/>
      <c r="AL80" s="361"/>
      <c r="AM80" s="361"/>
      <c r="AN80" s="361"/>
      <c r="AO80" s="361"/>
      <c r="AP80" s="361"/>
      <c r="AQ80" s="361"/>
      <c r="AR80" s="361"/>
    </row>
    <row r="81" spans="1:44" ht="14" x14ac:dyDescent="0.15">
      <c r="A81" s="361"/>
      <c r="B81" s="361"/>
      <c r="C81" s="361"/>
      <c r="D81" s="361"/>
      <c r="E81" s="361"/>
      <c r="F81" s="361"/>
      <c r="G81" s="362"/>
      <c r="H81" s="362"/>
      <c r="I81" s="363"/>
      <c r="J81" s="363"/>
      <c r="K81" s="361"/>
      <c r="L81" s="361"/>
      <c r="M81" s="361"/>
      <c r="N81" s="361"/>
      <c r="O81" s="361"/>
      <c r="P81" s="361"/>
      <c r="Q81" s="361"/>
      <c r="R81" s="361"/>
      <c r="S81" s="361"/>
      <c r="T81" s="361"/>
      <c r="U81" s="361"/>
      <c r="V81" s="361"/>
      <c r="W81" s="361"/>
      <c r="X81" s="361"/>
      <c r="Y81" s="361"/>
      <c r="Z81" s="361"/>
      <c r="AA81" s="361"/>
      <c r="AB81" s="361"/>
      <c r="AC81" s="361"/>
      <c r="AD81" s="361"/>
      <c r="AE81" s="361"/>
      <c r="AF81" s="361"/>
      <c r="AG81" s="361"/>
      <c r="AH81" s="361"/>
      <c r="AI81" s="361"/>
      <c r="AJ81" s="361"/>
      <c r="AK81" s="361"/>
      <c r="AL81" s="361"/>
      <c r="AM81" s="361"/>
      <c r="AN81" s="361"/>
      <c r="AO81" s="361"/>
      <c r="AP81" s="361"/>
      <c r="AQ81" s="361"/>
      <c r="AR81" s="361"/>
    </row>
    <row r="82" spans="1:44" ht="14" x14ac:dyDescent="0.15">
      <c r="A82" s="361"/>
      <c r="B82" s="361"/>
      <c r="C82" s="361"/>
      <c r="D82" s="362"/>
      <c r="E82" s="362"/>
      <c r="F82" s="362"/>
      <c r="G82" s="362"/>
      <c r="H82" s="362"/>
      <c r="I82" s="363"/>
      <c r="J82" s="363"/>
      <c r="K82" s="361"/>
      <c r="L82" s="361"/>
      <c r="M82" s="361"/>
      <c r="N82" s="361"/>
      <c r="O82" s="361"/>
      <c r="P82" s="361"/>
      <c r="Q82" s="361"/>
      <c r="R82" s="361"/>
      <c r="S82" s="361"/>
      <c r="T82" s="361"/>
      <c r="U82" s="361"/>
      <c r="V82" s="361"/>
      <c r="W82" s="361"/>
      <c r="X82" s="361"/>
      <c r="Y82" s="361"/>
      <c r="Z82" s="361"/>
      <c r="AA82" s="361"/>
      <c r="AB82" s="361"/>
      <c r="AC82" s="361"/>
      <c r="AD82" s="361"/>
      <c r="AE82" s="361"/>
      <c r="AF82" s="361"/>
      <c r="AG82" s="361"/>
      <c r="AH82" s="361"/>
      <c r="AI82" s="361"/>
      <c r="AJ82" s="361"/>
      <c r="AK82" s="361"/>
      <c r="AL82" s="361"/>
      <c r="AM82" s="361"/>
      <c r="AN82" s="361"/>
      <c r="AO82" s="361"/>
      <c r="AP82" s="361"/>
      <c r="AQ82" s="361"/>
      <c r="AR82" s="361"/>
    </row>
    <row r="83" spans="1:44" ht="14" x14ac:dyDescent="0.15">
      <c r="A83" s="361"/>
      <c r="B83" s="361"/>
      <c r="C83" s="361"/>
      <c r="D83" s="361"/>
      <c r="E83" s="361"/>
      <c r="F83" s="361"/>
      <c r="G83" s="362"/>
      <c r="H83" s="362"/>
      <c r="I83" s="363"/>
      <c r="J83" s="363"/>
      <c r="K83" s="361"/>
      <c r="L83" s="361"/>
      <c r="M83" s="361"/>
      <c r="N83" s="361"/>
      <c r="O83" s="361"/>
      <c r="P83" s="361"/>
      <c r="Q83" s="361"/>
      <c r="R83" s="361"/>
      <c r="S83" s="361"/>
      <c r="T83" s="361"/>
      <c r="U83" s="361"/>
      <c r="V83" s="361"/>
      <c r="W83" s="361"/>
      <c r="X83" s="361"/>
      <c r="Y83" s="361"/>
      <c r="Z83" s="361"/>
      <c r="AA83" s="361"/>
      <c r="AB83" s="361"/>
      <c r="AC83" s="361"/>
      <c r="AD83" s="361"/>
      <c r="AE83" s="361"/>
      <c r="AF83" s="361"/>
      <c r="AG83" s="361"/>
      <c r="AH83" s="361"/>
      <c r="AI83" s="361"/>
      <c r="AJ83" s="361"/>
      <c r="AK83" s="361"/>
      <c r="AL83" s="361"/>
      <c r="AM83" s="361"/>
      <c r="AN83" s="361"/>
      <c r="AO83" s="361"/>
      <c r="AP83" s="361"/>
      <c r="AQ83" s="361"/>
      <c r="AR83" s="361"/>
    </row>
    <row r="84" spans="1:44" ht="14" x14ac:dyDescent="0.15">
      <c r="A84" s="361"/>
      <c r="B84" s="361"/>
      <c r="C84" s="361"/>
      <c r="D84" s="362"/>
      <c r="E84" s="362"/>
      <c r="F84" s="362"/>
      <c r="G84" s="362"/>
      <c r="H84" s="362"/>
      <c r="I84" s="363"/>
      <c r="J84" s="363"/>
      <c r="K84" s="361"/>
      <c r="L84" s="361"/>
      <c r="M84" s="361"/>
      <c r="N84" s="361"/>
      <c r="O84" s="361"/>
      <c r="P84" s="361"/>
      <c r="Q84" s="361"/>
      <c r="R84" s="361"/>
      <c r="S84" s="361"/>
      <c r="T84" s="361"/>
      <c r="U84" s="361"/>
      <c r="V84" s="361"/>
      <c r="W84" s="361"/>
      <c r="X84" s="361"/>
      <c r="Y84" s="361"/>
      <c r="Z84" s="361"/>
      <c r="AA84" s="361"/>
      <c r="AB84" s="361"/>
      <c r="AC84" s="361"/>
      <c r="AD84" s="361"/>
      <c r="AE84" s="361"/>
      <c r="AF84" s="361"/>
      <c r="AG84" s="361"/>
      <c r="AH84" s="361"/>
      <c r="AI84" s="361"/>
      <c r="AJ84" s="361"/>
      <c r="AK84" s="361"/>
      <c r="AL84" s="361"/>
      <c r="AM84" s="361"/>
      <c r="AN84" s="361"/>
      <c r="AO84" s="361"/>
      <c r="AP84" s="361"/>
      <c r="AQ84" s="361"/>
      <c r="AR84" s="361"/>
    </row>
    <row r="85" spans="1:44" ht="14" x14ac:dyDescent="0.15">
      <c r="A85" s="361"/>
      <c r="B85" s="361"/>
      <c r="C85" s="361"/>
      <c r="D85" s="361"/>
      <c r="E85" s="361"/>
      <c r="F85" s="361"/>
      <c r="G85" s="362"/>
      <c r="H85" s="362"/>
      <c r="I85" s="363"/>
      <c r="J85" s="363"/>
      <c r="K85" s="361"/>
      <c r="L85" s="361"/>
      <c r="M85" s="361"/>
      <c r="N85" s="361"/>
      <c r="O85" s="361"/>
      <c r="P85" s="361"/>
      <c r="Q85" s="361"/>
      <c r="R85" s="361"/>
      <c r="S85" s="361"/>
      <c r="T85" s="361"/>
      <c r="U85" s="361"/>
      <c r="V85" s="361"/>
      <c r="W85" s="361"/>
      <c r="X85" s="361"/>
      <c r="Y85" s="361"/>
      <c r="Z85" s="361"/>
      <c r="AA85" s="361"/>
      <c r="AB85" s="361"/>
      <c r="AC85" s="361"/>
      <c r="AD85" s="361"/>
      <c r="AE85" s="361"/>
      <c r="AF85" s="361"/>
      <c r="AG85" s="361"/>
      <c r="AH85" s="361"/>
      <c r="AI85" s="361"/>
      <c r="AJ85" s="361"/>
      <c r="AK85" s="361"/>
      <c r="AL85" s="361"/>
      <c r="AM85" s="361"/>
      <c r="AN85" s="361"/>
      <c r="AO85" s="361"/>
      <c r="AP85" s="361"/>
      <c r="AQ85" s="361"/>
      <c r="AR85" s="361"/>
    </row>
    <row r="86" spans="1:44" ht="14" x14ac:dyDescent="0.15">
      <c r="A86" s="361"/>
      <c r="B86" s="361"/>
      <c r="C86" s="361"/>
      <c r="D86" s="362"/>
      <c r="E86" s="362"/>
      <c r="F86" s="362"/>
      <c r="G86" s="362"/>
      <c r="H86" s="362"/>
      <c r="I86" s="363"/>
      <c r="J86" s="363"/>
      <c r="K86" s="361"/>
      <c r="L86" s="361"/>
      <c r="M86" s="361"/>
      <c r="N86" s="361"/>
      <c r="O86" s="361"/>
      <c r="P86" s="361"/>
      <c r="Q86" s="361"/>
      <c r="R86" s="361"/>
      <c r="S86" s="361"/>
      <c r="T86" s="361"/>
      <c r="U86" s="361"/>
      <c r="V86" s="361"/>
      <c r="W86" s="361"/>
      <c r="X86" s="361"/>
      <c r="Y86" s="361"/>
      <c r="Z86" s="361"/>
      <c r="AA86" s="361"/>
      <c r="AB86" s="361"/>
      <c r="AC86" s="361"/>
      <c r="AD86" s="361"/>
      <c r="AE86" s="361"/>
      <c r="AF86" s="361"/>
      <c r="AG86" s="361"/>
      <c r="AH86" s="361"/>
      <c r="AI86" s="361"/>
      <c r="AJ86" s="361"/>
      <c r="AK86" s="361"/>
      <c r="AL86" s="361"/>
      <c r="AM86" s="361"/>
      <c r="AN86" s="361"/>
      <c r="AO86" s="361"/>
      <c r="AP86" s="361"/>
      <c r="AQ86" s="361"/>
      <c r="AR86" s="361"/>
    </row>
    <row r="87" spans="1:44" ht="14" x14ac:dyDescent="0.15">
      <c r="A87" s="361"/>
      <c r="B87" s="361"/>
      <c r="C87" s="361"/>
      <c r="D87" s="361"/>
      <c r="E87" s="361"/>
      <c r="F87" s="361"/>
      <c r="G87" s="362"/>
      <c r="H87" s="362"/>
      <c r="I87" s="363"/>
      <c r="J87" s="363"/>
      <c r="K87" s="361"/>
      <c r="L87" s="361"/>
      <c r="M87" s="361"/>
      <c r="N87" s="361"/>
      <c r="O87" s="361"/>
      <c r="P87" s="361"/>
      <c r="Q87" s="361"/>
      <c r="R87" s="361"/>
      <c r="S87" s="361"/>
      <c r="T87" s="361"/>
      <c r="U87" s="361"/>
      <c r="V87" s="361"/>
      <c r="W87" s="361"/>
      <c r="X87" s="361"/>
      <c r="Y87" s="361"/>
      <c r="Z87" s="361"/>
      <c r="AA87" s="361"/>
      <c r="AB87" s="361"/>
      <c r="AC87" s="361"/>
      <c r="AD87" s="361"/>
      <c r="AE87" s="361"/>
      <c r="AF87" s="361"/>
      <c r="AG87" s="361"/>
      <c r="AH87" s="361"/>
      <c r="AI87" s="361"/>
      <c r="AJ87" s="361"/>
      <c r="AK87" s="361"/>
      <c r="AL87" s="361"/>
      <c r="AM87" s="361"/>
      <c r="AN87" s="361"/>
      <c r="AO87" s="361"/>
      <c r="AP87" s="361"/>
      <c r="AQ87" s="361"/>
      <c r="AR87" s="361"/>
    </row>
    <row r="88" spans="1:44" ht="14" x14ac:dyDescent="0.15">
      <c r="A88" s="361"/>
      <c r="B88" s="361"/>
      <c r="C88" s="361"/>
      <c r="D88" s="362"/>
      <c r="E88" s="362"/>
      <c r="F88" s="362"/>
      <c r="G88" s="362"/>
      <c r="H88" s="362"/>
      <c r="I88" s="363"/>
      <c r="J88" s="363"/>
      <c r="K88" s="361"/>
      <c r="L88" s="361"/>
      <c r="M88" s="361"/>
      <c r="N88" s="361"/>
      <c r="O88" s="361"/>
      <c r="P88" s="361"/>
      <c r="Q88" s="361"/>
      <c r="R88" s="361"/>
      <c r="S88" s="361"/>
      <c r="T88" s="361"/>
      <c r="U88" s="361"/>
      <c r="V88" s="361"/>
      <c r="W88" s="361"/>
      <c r="X88" s="361"/>
      <c r="Y88" s="361"/>
      <c r="Z88" s="361"/>
      <c r="AA88" s="361"/>
      <c r="AB88" s="361"/>
      <c r="AC88" s="361"/>
      <c r="AD88" s="361"/>
      <c r="AE88" s="361"/>
      <c r="AF88" s="361"/>
      <c r="AG88" s="361"/>
      <c r="AH88" s="361"/>
      <c r="AI88" s="361"/>
      <c r="AJ88" s="361"/>
      <c r="AK88" s="361"/>
      <c r="AL88" s="361"/>
      <c r="AM88" s="361"/>
      <c r="AN88" s="361"/>
      <c r="AO88" s="361"/>
      <c r="AP88" s="361"/>
      <c r="AQ88" s="361"/>
      <c r="AR88" s="361"/>
    </row>
  </sheetData>
  <sheetProtection algorithmName="SHA-512" hashValue="XvOu0Ba0B0MI1gPE0gbAlx022eGW16n/hxWWEFwv0BZK4jttnOfTGU/0hgRulxJKJqSCuQNfxWLabq3Rm8aukg==" saltValue="+H9WfEFQfVA3D90luM/2Cg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46" max="16383" man="1" pt="1"/>
  </rowBreaks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7878A-C4CA-7A4A-892F-557553652962}">
  <sheetPr codeName="Sheet27">
    <tabColor theme="8" tint="0.79998168889431442"/>
  </sheetPr>
  <dimension ref="A1:AR110"/>
  <sheetViews>
    <sheetView zoomScaleNormal="100" zoomScalePageLayoutView="125" workbookViewId="0">
      <selection activeCell="J1" sqref="J1:K1048576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32" t="s">
        <v>31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  <c r="AM1" s="332"/>
      <c r="AN1" s="332"/>
      <c r="AO1" s="332"/>
      <c r="AP1" s="332"/>
      <c r="AQ1" s="332"/>
      <c r="AR1" s="332"/>
    </row>
    <row r="2" spans="1:44" ht="14" x14ac:dyDescent="0.15">
      <c r="A2" s="333" t="s">
        <v>236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332"/>
      <c r="AJ2" s="332"/>
      <c r="AK2" s="332"/>
      <c r="AL2" s="332"/>
      <c r="AM2" s="332"/>
      <c r="AN2" s="332"/>
      <c r="AO2" s="332"/>
      <c r="AP2" s="332"/>
      <c r="AQ2" s="332"/>
      <c r="AR2" s="332"/>
    </row>
    <row r="3" spans="1:44" ht="15" thickBot="1" x14ac:dyDescent="0.2">
      <c r="A3" s="332"/>
      <c r="B3" s="332"/>
      <c r="C3" s="332"/>
      <c r="D3" s="332"/>
      <c r="E3" s="332"/>
      <c r="F3" s="332"/>
      <c r="G3" s="334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2"/>
      <c r="AM3" s="332"/>
      <c r="AN3" s="332"/>
      <c r="AO3" s="332"/>
      <c r="AP3" s="332"/>
      <c r="AQ3" s="332"/>
      <c r="AR3" s="332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  <c r="AM4" s="332"/>
      <c r="AN4" s="332"/>
      <c r="AO4" s="332"/>
      <c r="AP4" s="332"/>
      <c r="AQ4" s="332"/>
      <c r="AR4" s="332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</row>
    <row r="8" spans="1:44" ht="14" x14ac:dyDescent="0.15">
      <c r="A8" s="70" t="str">
        <f>'SA Apr 2022'!K2</f>
        <v>AGL</v>
      </c>
      <c r="B8" s="49" t="str">
        <f>'SA Apr 2022'!L2</f>
        <v>Business Value Saver</v>
      </c>
      <c r="C8" s="46">
        <f>IF('SA Apr 2022'!BP2=0,91*'SA Apr 2022'!M2/100,(91*'SA Apr 2022'!M2/100)+'SA Apr 2022'!BP2/4)</f>
        <v>85.4820909090909</v>
      </c>
      <c r="D8" s="46">
        <f>IF('SA Apr 2022'!O2="",$C$5*'SA Apr 2022'!N2/100,IF($C$5&gt;='SA Apr 2022'!P2,('SA Apr 2022'!P2*'SA Apr 2022'!N2/100),($C$5*'SA Apr 2022'!N2/100)))</f>
        <v>1593.6363636363635</v>
      </c>
      <c r="E8" s="46">
        <f>IF(AND('SA Apr 2022'!P2&gt;0,'SA Apr 2022'!R2&gt;0),IF($C$5&lt;'SA Apr 2022'!P2,0,IF($C$5&lt;=('SA Apr 2022'!R2+'SA Apr 2022'!P2),(($C$5-'SA Apr 2022'!P2)*'SA Apr 2022'!Q2/100),(('SA Apr 2022'!R2)*'SA Apr 2022'!Q2/100))),0)</f>
        <v>0</v>
      </c>
      <c r="F8" s="46">
        <f>IF(AND('SA Apr 2022'!Q2&gt;0,'SA Apr 2022'!S2&gt;0),IF($C$5&lt;('SA Apr 2022'!R2+'SA Apr 2022'!P2),0,IF($C$5&lt;=('SA Apr 2022'!T2+'SA Apr 2022'!R2+'SA Apr 2022'!P2),(($C$5-('SA Apr 2022'!R2+'SA Apr 2022'!P2))*'SA Apr 2022'!S2/100),('SA Apr 2022'!T2*'SA Apr 2022'!S2/100))),0)</f>
        <v>0</v>
      </c>
      <c r="G8" s="50">
        <v>0</v>
      </c>
      <c r="H8" s="46">
        <f>IF(AND('SA Apr 2022'!R2&gt;0,'SA Apr 2022'!T2&gt;0),IF(($C$5&lt;'SA Apr 2022'!T2),(0),($C$5-'SA Apr 2022'!T2)*'SA Apr 2022'!U2/100),IF(AND('SA Apr 2022'!R2&gt;0,'SA Apr 2022'!T2=""),IF(($C$5&lt;'SA Apr 2022'!R2+'SA Apr 2022'!P2),(0),(($C$5-('SA Apr 2022'!R2+'SA Apr 2022'!P2))*'SA Apr 2022'!S2/100)),IF(AND('SA Apr 2022'!P2&gt;0,'SA Apr 2022'!R2=""&gt;0),IF(($C$5&lt;'SA Apr 2022'!P2),(0),($C$5-'SA Apr 2022'!P2)*'SA Apr 2022'!Q2/100),0)))</f>
        <v>0</v>
      </c>
      <c r="I8" s="52">
        <f>SUM(C8:H8)</f>
        <v>1679.1184545454544</v>
      </c>
      <c r="J8" s="109">
        <f>(I8-C8)*4</f>
        <v>6374.545454545454</v>
      </c>
      <c r="K8" s="109">
        <f t="shared" ref="K8:K28" si="0">I8*4</f>
        <v>6716.4738181818175</v>
      </c>
      <c r="L8" s="53">
        <f>K8*1.1</f>
        <v>7388.1211999999996</v>
      </c>
      <c r="M8" s="54">
        <f>'SA Apr 2022'!BB2</f>
        <v>0</v>
      </c>
      <c r="N8" s="54">
        <f>'SA Apr 2022'!BC2</f>
        <v>0</v>
      </c>
      <c r="O8" s="54">
        <f>'SA Apr 2022'!BD2</f>
        <v>0</v>
      </c>
      <c r="P8" s="54">
        <f>'SA Apr 2022'!BE2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8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6716.4738181818175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6716.4738181818175</v>
      </c>
      <c r="U8" s="97">
        <f>S8*1.1</f>
        <v>7388.1211999999996</v>
      </c>
      <c r="V8" s="98">
        <f>T8*1.1</f>
        <v>7388.1211999999996</v>
      </c>
      <c r="W8" s="55">
        <f>'SA Apr 2022'!BL2</f>
        <v>12</v>
      </c>
      <c r="X8" s="56">
        <f>'SA Apr 2022'!BM2</f>
        <v>0</v>
      </c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</row>
    <row r="9" spans="1:44" ht="14" x14ac:dyDescent="0.15">
      <c r="A9" s="70" t="str">
        <f>'SA Apr 2022'!K3</f>
        <v>Alinta Energy</v>
      </c>
      <c r="B9" s="49" t="str">
        <f>'SA Apr 2022'!L3</f>
        <v>BusinessDeal</v>
      </c>
      <c r="C9" s="46">
        <f>IF('SA Apr 2022'!BP3=0,91*'SA Apr 2022'!M3/100,(91*'SA Apr 2022'!M3/100)+'SA Apr 2022'!BP3/4)</f>
        <v>78.226909090909089</v>
      </c>
      <c r="D9" s="46">
        <f>IF('SA Apr 2022'!O3="",$C$5*'SA Apr 2022'!N3/100,IF($C$5&gt;='SA Apr 2022'!P3,('SA Apr 2022'!P3*'SA Apr 2022'!N3/100),($C$5*'SA Apr 2022'!N3/100)))</f>
        <v>1356.8181818181818</v>
      </c>
      <c r="E9" s="46">
        <f>IF(AND('SA Apr 2022'!P3&gt;0,'SA Apr 2022'!R3&gt;0),IF($C$5&lt;'SA Apr 2022'!P3,0,IF($C$5&lt;=('SA Apr 2022'!R3+'SA Apr 2022'!P3),(($C$5-'SA Apr 2022'!P3)*'SA Apr 2022'!Q3/100),(('SA Apr 2022'!R3)*'SA Apr 2022'!Q3/100))),0)</f>
        <v>0</v>
      </c>
      <c r="F9" s="46">
        <f>IF(AND('SA Apr 2022'!Q3&gt;0,'SA Apr 2022'!S3&gt;0),IF($C$5&lt;('SA Apr 2022'!R3+'SA Apr 2022'!P3),0,IF($C$5&lt;=('SA Apr 2022'!T3+'SA Apr 2022'!R3+'SA Apr 2022'!P3),(($C$5-('SA Apr 2022'!R3+'SA Apr 2022'!P3))*'SA Apr 2022'!S3/100),('SA Apr 2022'!T3*'SA Apr 2022'!S3/100))),0)</f>
        <v>0</v>
      </c>
      <c r="G9" s="50">
        <v>0</v>
      </c>
      <c r="H9" s="46">
        <f>IF(AND('SA Apr 2022'!R3&gt;0,'SA Apr 2022'!T3&gt;0),IF(($C$5&lt;'SA Apr 2022'!T3),(0),($C$5-'SA Apr 2022'!T3)*'SA Apr 2022'!U3/100),IF(AND('SA Apr 2022'!R3&gt;0,'SA Apr 2022'!T3=""),IF(($C$5&lt;'SA Apr 2022'!R3+'SA Apr 2022'!P3),(0),(($C$5-('SA Apr 2022'!R3+'SA Apr 2022'!P3))*'SA Apr 2022'!S3/100)),IF(AND('SA Apr 2022'!P3&gt;0,'SA Apr 2022'!R3=""&gt;0),IF(($C$5&lt;'SA Apr 2022'!P3),(0),($C$5-'SA Apr 2022'!P3)*'SA Apr 2022'!Q3/100),0)))</f>
        <v>0</v>
      </c>
      <c r="I9" s="52">
        <f t="shared" ref="I9:I11" si="2">SUM(C9:H9)</f>
        <v>1435.045090909091</v>
      </c>
      <c r="J9" s="109">
        <f t="shared" ref="J9:J28" si="3">(I9-C9)*4</f>
        <v>5427.2727272727279</v>
      </c>
      <c r="K9" s="109">
        <f t="shared" si="0"/>
        <v>5740.1803636363638</v>
      </c>
      <c r="L9" s="53">
        <f t="shared" ref="L9:L28" si="4">K9*1.1</f>
        <v>6314.1984000000011</v>
      </c>
      <c r="M9" s="54">
        <f>'SA Apr 2022'!BB3</f>
        <v>0</v>
      </c>
      <c r="N9" s="54">
        <f>'SA Apr 2022'!BC3</f>
        <v>0</v>
      </c>
      <c r="O9" s="54">
        <f>'SA Apr 2022'!BD3</f>
        <v>0</v>
      </c>
      <c r="P9" s="54">
        <f>'SA Apr 2022'!BE3</f>
        <v>0</v>
      </c>
      <c r="Q9" s="110" t="str">
        <f t="shared" ref="Q9:Q28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5740.1803636363638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5740.1803636363638</v>
      </c>
      <c r="U9" s="97">
        <f t="shared" ref="U9:V25" si="6">S9*1.1</f>
        <v>6314.1984000000011</v>
      </c>
      <c r="V9" s="98">
        <f t="shared" si="6"/>
        <v>6314.1984000000011</v>
      </c>
      <c r="W9" s="55">
        <f>'SA Apr 2022'!BL3</f>
        <v>0</v>
      </c>
      <c r="X9" s="56">
        <f>'SA Apr 2022'!BM3</f>
        <v>0</v>
      </c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</row>
    <row r="10" spans="1:44" ht="14" x14ac:dyDescent="0.15">
      <c r="A10" s="70" t="str">
        <f>'SA Apr 2022'!K4</f>
        <v>Diamond Energy</v>
      </c>
      <c r="B10" s="49" t="str">
        <f>'SA Apr 2022'!L4</f>
        <v>Renewable Saver POT</v>
      </c>
      <c r="C10" s="46">
        <f>IF('SA Apr 2022'!BP4=0,91*'SA Apr 2022'!M4/100,(91*'SA Apr 2022'!M4/100)+'SA Apr 2022'!BP4/4)</f>
        <v>86.904999999999987</v>
      </c>
      <c r="D10" s="46">
        <f>IF('SA Apr 2022'!O4="",$C$5*'SA Apr 2022'!N4/100,IF($C$5&gt;='SA Apr 2022'!P4,('SA Apr 2022'!P4*'SA Apr 2022'!N4/100),($C$5*'SA Apr 2022'!N4/100)))</f>
        <v>301.5454545454545</v>
      </c>
      <c r="E10" s="46">
        <f>IF(AND('SA Apr 2022'!P4&gt;0,'SA Apr 2022'!R4&gt;0),IF($C$5&lt;'SA Apr 2022'!P4,0,IF($C$5&lt;=('SA Apr 2022'!R4+'SA Apr 2022'!P4),(($C$5-'SA Apr 2022'!P4)*'SA Apr 2022'!Q4/100),(('SA Apr 2022'!R4)*'SA Apr 2022'!Q4/100))),0)</f>
        <v>0</v>
      </c>
      <c r="F10" s="46">
        <f>IF(AND('SA Apr 2022'!Q4&gt;0,'SA Apr 2022'!S4&gt;0),IF($C$5&lt;('SA Apr 2022'!R4+'SA Apr 2022'!P4),0,IF($C$5&lt;=('SA Apr 2022'!T4+'SA Apr 2022'!R4+'SA Apr 2022'!P4),(($C$5-('SA Apr 2022'!R4+'SA Apr 2022'!P4))*'SA Apr 2022'!S4/100),('SA Apr 2022'!T4*'SA Apr 2022'!S4/100))),0)</f>
        <v>0</v>
      </c>
      <c r="G10" s="50">
        <v>0</v>
      </c>
      <c r="H10" s="46">
        <f>IF(AND('SA Apr 2022'!R4&gt;0,'SA Apr 2022'!T4&gt;0),IF(($C$5&lt;'SA Apr 2022'!T4),(0),($C$5-'SA Apr 2022'!T4)*'SA Apr 2022'!U4/100),IF(AND('SA Apr 2022'!R4&gt;0,'SA Apr 2022'!T4=""),IF(($C$5&lt;'SA Apr 2022'!R4+'SA Apr 2022'!P4),(0),(($C$5-('SA Apr 2022'!R4+'SA Apr 2022'!P4))*'SA Apr 2022'!S4/100)),IF(AND('SA Apr 2022'!P4&gt;0,'SA Apr 2022'!R4=""&gt;0),IF(($C$5&lt;'SA Apr 2022'!P4),(0),($C$5-'SA Apr 2022'!P4)*'SA Apr 2022'!Q4/100),0)))</f>
        <v>1470.181818181818</v>
      </c>
      <c r="I10" s="52">
        <f t="shared" si="2"/>
        <v>1858.6322727272725</v>
      </c>
      <c r="J10" s="109">
        <f t="shared" si="3"/>
        <v>7086.9090909090901</v>
      </c>
      <c r="K10" s="109">
        <f t="shared" si="0"/>
        <v>7434.52909090909</v>
      </c>
      <c r="L10" s="53">
        <f t="shared" si="4"/>
        <v>8177.982</v>
      </c>
      <c r="M10" s="54">
        <f>'SA Apr 2022'!BB4</f>
        <v>0</v>
      </c>
      <c r="N10" s="54">
        <f>'SA Apr 2022'!BC4</f>
        <v>0</v>
      </c>
      <c r="O10" s="54">
        <f>'SA Apr 2022'!BD4</f>
        <v>7</v>
      </c>
      <c r="P10" s="54">
        <f>'SA Apr 2022'!BE4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8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7434.52909090909</v>
      </c>
      <c r="T10" s="112">
        <f t="shared" ref="T10:T24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6914.1120545454542</v>
      </c>
      <c r="U10" s="97">
        <f t="shared" si="6"/>
        <v>8177.982</v>
      </c>
      <c r="V10" s="98">
        <f t="shared" si="6"/>
        <v>7605.5232599999999</v>
      </c>
      <c r="W10" s="55">
        <f>'SA Apr 2022'!BL4</f>
        <v>0</v>
      </c>
      <c r="X10" s="56">
        <f>'SA Apr 2022'!BM4</f>
        <v>0</v>
      </c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</row>
    <row r="11" spans="1:44" ht="14" x14ac:dyDescent="0.15">
      <c r="A11" s="70" t="str">
        <f>'SA Apr 2022'!K5</f>
        <v>EnergyAustralia</v>
      </c>
      <c r="B11" s="49" t="str">
        <f>'SA Apr 2022'!L5</f>
        <v>Total Plan</v>
      </c>
      <c r="C11" s="46">
        <f>IF('SA Apr 2022'!BP5=0,91*'SA Apr 2022'!M5/100,(91*'SA Apr 2022'!M5/100)+'SA Apr 2022'!BP5/4)</f>
        <v>89.634999999999977</v>
      </c>
      <c r="D11" s="46">
        <f>IF('SA Apr 2022'!O5="",$C$5*'SA Apr 2022'!N5/100,IF($C$5&gt;='SA Apr 2022'!P5,('SA Apr 2022'!P5*'SA Apr 2022'!N5/100),($C$5*'SA Apr 2022'!N5/100)))</f>
        <v>1735.9090909090905</v>
      </c>
      <c r="E11" s="46">
        <f>IF(AND('SA Apr 2022'!P5&gt;0,'SA Apr 2022'!R5&gt;0),IF($C$5&lt;'SA Apr 2022'!P5,0,IF($C$5&lt;=('SA Apr 2022'!R5+'SA Apr 2022'!P5),(($C$5-'SA Apr 2022'!P5)*'SA Apr 2022'!Q5/100),(('SA Apr 2022'!R5)*'SA Apr 2022'!Q5/100))),0)</f>
        <v>0</v>
      </c>
      <c r="F11" s="46">
        <f>IF(AND('SA Apr 2022'!Q5&gt;0,'SA Apr 2022'!S5&gt;0),IF($C$5&lt;('SA Apr 2022'!R5+'SA Apr 2022'!P5),0,IF($C$5&lt;=('SA Apr 2022'!T5+'SA Apr 2022'!R5+'SA Apr 2022'!P5),(($C$5-('SA Apr 2022'!R5+'SA Apr 2022'!P5))*'SA Apr 2022'!S5/100),('SA Apr 2022'!T5*'SA Apr 2022'!S5/100))),0)</f>
        <v>0</v>
      </c>
      <c r="G11" s="50">
        <v>0</v>
      </c>
      <c r="H11" s="46">
        <f>IF(AND('SA Apr 2022'!R5&gt;0,'SA Apr 2022'!T5&gt;0),IF(($C$5&lt;'SA Apr 2022'!T5),(0),($C$5-'SA Apr 2022'!T5)*'SA Apr 2022'!U5/100),IF(AND('SA Apr 2022'!R5&gt;0,'SA Apr 2022'!T5=""),IF(($C$5&lt;'SA Apr 2022'!R5+'SA Apr 2022'!P5),(0),(($C$5-('SA Apr 2022'!R5+'SA Apr 2022'!P5))*'SA Apr 2022'!S5/100)),IF(AND('SA Apr 2022'!P5&gt;0,'SA Apr 2022'!R5=""&gt;0),IF(($C$5&lt;'SA Apr 2022'!P5),(0),($C$5-'SA Apr 2022'!P5)*'SA Apr 2022'!Q5/100),0)))</f>
        <v>0</v>
      </c>
      <c r="I11" s="52">
        <f t="shared" si="2"/>
        <v>1825.5440909090905</v>
      </c>
      <c r="J11" s="109">
        <f t="shared" si="3"/>
        <v>6943.6363636363621</v>
      </c>
      <c r="K11" s="109">
        <f t="shared" si="0"/>
        <v>7302.1763636363621</v>
      </c>
      <c r="L11" s="53">
        <f t="shared" si="4"/>
        <v>8032.3939999999993</v>
      </c>
      <c r="M11" s="54">
        <f>'SA Apr 2022'!BB5</f>
        <v>3</v>
      </c>
      <c r="N11" s="54">
        <f>'SA Apr 2022'!BC5</f>
        <v>0</v>
      </c>
      <c r="O11" s="54">
        <f>'SA Apr 2022'!BD5</f>
        <v>0</v>
      </c>
      <c r="P11" s="54">
        <f>'SA Apr 2022'!BE5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7083.1110727272717</v>
      </c>
      <c r="T11" s="112">
        <f t="shared" si="8"/>
        <v>7083.1110727272717</v>
      </c>
      <c r="U11" s="97">
        <f t="shared" si="6"/>
        <v>7791.4221799999996</v>
      </c>
      <c r="V11" s="98">
        <f t="shared" si="6"/>
        <v>7791.4221799999996</v>
      </c>
      <c r="W11" s="55">
        <f>'SA Apr 2022'!BL5</f>
        <v>0</v>
      </c>
      <c r="X11" s="56">
        <f>'SA Apr 2022'!BM5</f>
        <v>0</v>
      </c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337"/>
      <c r="AM11" s="337"/>
      <c r="AN11" s="337"/>
      <c r="AO11" s="337"/>
      <c r="AP11" s="337"/>
      <c r="AQ11" s="337"/>
      <c r="AR11" s="337"/>
    </row>
    <row r="12" spans="1:44" ht="14" x14ac:dyDescent="0.15">
      <c r="A12" s="70" t="str">
        <f>'SA Apr 2022'!K6</f>
        <v>Lumo Energy</v>
      </c>
      <c r="B12" s="49" t="str">
        <f>'SA Apr 2022'!L6</f>
        <v>Basic</v>
      </c>
      <c r="C12" s="46">
        <f>IF('SA Apr 2022'!BP6=0,91*'SA Apr 2022'!M6/100,(91*'SA Apr 2022'!M6/100)+'SA Apr 2022'!BP6/4)</f>
        <v>78.276545454545442</v>
      </c>
      <c r="D12" s="46">
        <f>IF('SA Apr 2022'!O6="",$C$5*'SA Apr 2022'!N6/100,IF($C$5&gt;='SA Apr 2022'!P6,('SA Apr 2022'!P6*'SA Apr 2022'!N6/100),($C$5*'SA Apr 2022'!N6/100)))</f>
        <v>1477.7272727272727</v>
      </c>
      <c r="E12" s="46">
        <f>IF(AND('SA Apr 2022'!P6&gt;0,'SA Apr 2022'!R6&gt;0),IF($C$5&lt;'SA Apr 2022'!P6,0,IF($C$5&lt;=('SA Apr 2022'!R6+'SA Apr 2022'!P6),(($C$5-'SA Apr 2022'!P6)*'SA Apr 2022'!Q6/100),(('SA Apr 2022'!R6)*'SA Apr 2022'!Q6/100))),0)</f>
        <v>0</v>
      </c>
      <c r="F12" s="46">
        <f>IF(AND('SA Apr 2022'!Q6&gt;0,'SA Apr 2022'!S6&gt;0),IF($C$5&lt;('SA Apr 2022'!R6+'SA Apr 2022'!P6),0,IF($C$5&lt;=('SA Apr 2022'!T6+'SA Apr 2022'!R6+'SA Apr 2022'!P6),(($C$5-('SA Apr 2022'!R6+'SA Apr 2022'!P6))*'SA Apr 2022'!S6/100),('SA Apr 2022'!T6*'SA Apr 2022'!S6/100))),0)</f>
        <v>0</v>
      </c>
      <c r="G12" s="50">
        <v>1</v>
      </c>
      <c r="H12" s="46">
        <f>IF(AND('SA Apr 2022'!R6&gt;0,'SA Apr 2022'!T6&gt;0),IF(($C$5&lt;'SA Apr 2022'!T6),(0),($C$5-'SA Apr 2022'!T6)*'SA Apr 2022'!U6/100),IF(AND('SA Apr 2022'!R6&gt;0,'SA Apr 2022'!T6=""),IF(($C$5&lt;'SA Apr 2022'!R6+'SA Apr 2022'!P6),(0),(($C$5-('SA Apr 2022'!R6+'SA Apr 2022'!P6))*'SA Apr 2022'!S6/100)),IF(AND('SA Apr 2022'!P6&gt;0,'SA Apr 2022'!R6=""&gt;0),IF(($C$5&lt;'SA Apr 2022'!P6),(0),($C$5-'SA Apr 2022'!P6)*'SA Apr 2022'!Q6/100),0)))</f>
        <v>0</v>
      </c>
      <c r="I12" s="52">
        <f t="shared" ref="I12" si="9">SUM(C12:H12)</f>
        <v>1557.0038181818181</v>
      </c>
      <c r="J12" s="109">
        <f t="shared" si="3"/>
        <v>5914.909090909091</v>
      </c>
      <c r="K12" s="109">
        <f t="shared" si="0"/>
        <v>6228.0152727272725</v>
      </c>
      <c r="L12" s="53">
        <f t="shared" si="4"/>
        <v>6850.8168000000005</v>
      </c>
      <c r="M12" s="54">
        <f>'SA Apr 2022'!BB6</f>
        <v>0</v>
      </c>
      <c r="N12" s="54">
        <f>'SA Apr 2022'!BC6</f>
        <v>0</v>
      </c>
      <c r="O12" s="54">
        <f>'SA Apr 2022'!BD6</f>
        <v>0</v>
      </c>
      <c r="P12" s="54">
        <f>'SA Apr 2022'!BE6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6228.0152727272725</v>
      </c>
      <c r="T12" s="112">
        <f t="shared" si="8"/>
        <v>6228.0152727272725</v>
      </c>
      <c r="U12" s="97">
        <f t="shared" si="6"/>
        <v>6850.8168000000005</v>
      </c>
      <c r="V12" s="98">
        <f t="shared" si="6"/>
        <v>6850.8168000000005</v>
      </c>
      <c r="W12" s="55">
        <f>'SA Apr 2022'!BL6</f>
        <v>0</v>
      </c>
      <c r="X12" s="56">
        <f>'SA Apr 2022'!BM6</f>
        <v>0</v>
      </c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</row>
    <row r="13" spans="1:44" ht="14" x14ac:dyDescent="0.15">
      <c r="A13" s="70" t="str">
        <f>'SA Apr 2022'!K7</f>
        <v>Momentum Energy</v>
      </c>
      <c r="B13" s="49" t="str">
        <f>'SA Apr 2022'!L7</f>
        <v>SmilePower Flexi</v>
      </c>
      <c r="C13" s="46">
        <f>IF('SA Apr 2022'!BP7=0,91*'SA Apr 2022'!M7/100,(91*'SA Apr 2022'!M7/100)+'SA Apr 2022'!BP7/4)</f>
        <v>104.02954545454544</v>
      </c>
      <c r="D13" s="46">
        <f>IF('SA Apr 2022'!O7="",$C$5*'SA Apr 2022'!N7/100,IF($C$5&gt;='SA Apr 2022'!P7,('SA Apr 2022'!P7*'SA Apr 2022'!N7/100),($C$5*'SA Apr 2022'!N7/100)))</f>
        <v>1538.6363636363635</v>
      </c>
      <c r="E13" s="46">
        <f>IF(AND('SA Apr 2022'!P7&gt;0,'SA Apr 2022'!R7&gt;0),IF($C$5&lt;'SA Apr 2022'!P7,0,IF($C$5&lt;=('SA Apr 2022'!R7+'SA Apr 2022'!P7),(($C$5-'SA Apr 2022'!P7)*'SA Apr 2022'!Q7/100),(('SA Apr 2022'!R7)*'SA Apr 2022'!Q7/100))),0)</f>
        <v>0</v>
      </c>
      <c r="F13" s="46">
        <f>IF(AND('SA Apr 2022'!Q7&gt;0,'SA Apr 2022'!S7&gt;0),IF($C$5&lt;('SA Apr 2022'!R7+'SA Apr 2022'!P7),0,IF($C$5&lt;=('SA Apr 2022'!T7+'SA Apr 2022'!R7+'SA Apr 2022'!P7),(($C$5-('SA Apr 2022'!R7+'SA Apr 2022'!P7))*'SA Apr 2022'!S7/100),('SA Apr 2022'!T7*'SA Apr 2022'!S7/100))),0)</f>
        <v>0</v>
      </c>
      <c r="G13" s="50">
        <v>0</v>
      </c>
      <c r="H13" s="46">
        <f>IF(AND('SA Apr 2022'!R7&gt;0,'SA Apr 2022'!T7&gt;0),IF(($C$5&lt;'SA Apr 2022'!T7),(0),($C$5-'SA Apr 2022'!T7)*'SA Apr 2022'!U7/100),IF(AND('SA Apr 2022'!R7&gt;0,'SA Apr 2022'!T7=""),IF(($C$5&lt;'SA Apr 2022'!R7+'SA Apr 2022'!P7),(0),(($C$5-('SA Apr 2022'!R7+'SA Apr 2022'!P7))*'SA Apr 2022'!S7/100)),IF(AND('SA Apr 2022'!P7&gt;0,'SA Apr 2022'!R7=""&gt;0),IF(($C$5&lt;'SA Apr 2022'!P7),(0),($C$5-'SA Apr 2022'!P7)*'SA Apr 2022'!Q7/100),0)))</f>
        <v>0</v>
      </c>
      <c r="I13" s="52">
        <f t="shared" ref="I13:I22" si="10">SUM(C13:H13)</f>
        <v>1642.6659090909091</v>
      </c>
      <c r="J13" s="109">
        <f t="shared" si="3"/>
        <v>6154.545454545454</v>
      </c>
      <c r="K13" s="109">
        <f t="shared" si="0"/>
        <v>6570.6636363636362</v>
      </c>
      <c r="L13" s="53">
        <f t="shared" si="4"/>
        <v>7227.7300000000005</v>
      </c>
      <c r="M13" s="54">
        <f>'SA Apr 2022'!BB7</f>
        <v>0</v>
      </c>
      <c r="N13" s="54">
        <f>'SA Apr 2022'!BC7</f>
        <v>0</v>
      </c>
      <c r="O13" s="54">
        <f>'SA Apr 2022'!BD7</f>
        <v>0</v>
      </c>
      <c r="P13" s="54">
        <f>'SA Apr 2022'!BE7</f>
        <v>0</v>
      </c>
      <c r="Q13" s="110" t="str">
        <f t="shared" si="5"/>
        <v>No discount</v>
      </c>
      <c r="R13" s="73" t="str">
        <f t="shared" si="1"/>
        <v>Exclusive</v>
      </c>
      <c r="S13" s="111">
        <f t="shared" si="7"/>
        <v>6570.6636363636362</v>
      </c>
      <c r="T13" s="112">
        <f t="shared" si="8"/>
        <v>6570.6636363636362</v>
      </c>
      <c r="U13" s="97">
        <f t="shared" si="6"/>
        <v>7227.7300000000005</v>
      </c>
      <c r="V13" s="98">
        <f t="shared" si="6"/>
        <v>7227.7300000000005</v>
      </c>
      <c r="W13" s="55">
        <f>'SA Apr 2022'!BL7</f>
        <v>0</v>
      </c>
      <c r="X13" s="56">
        <f>'SA Apr 2022'!BM7</f>
        <v>0</v>
      </c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</row>
    <row r="14" spans="1:44" ht="14" x14ac:dyDescent="0.15">
      <c r="A14" s="70" t="str">
        <f>'SA Apr 2022'!K8</f>
        <v>Origin Energy</v>
      </c>
      <c r="B14" s="49" t="str">
        <f>'SA Apr 2022'!L8</f>
        <v>Go Variable</v>
      </c>
      <c r="C14" s="46">
        <f>IF('SA Apr 2022'!BP8=0,91*'SA Apr 2022'!M8/100,(91*'SA Apr 2022'!M8/100)+'SA Apr 2022'!BP8/4)</f>
        <v>66.736090909090905</v>
      </c>
      <c r="D14" s="46">
        <f>IF('SA Apr 2022'!O8="",$C$5*'SA Apr 2022'!N8/100,IF($C$5&gt;='SA Apr 2022'!P8,('SA Apr 2022'!P8*'SA Apr 2022'!N8/100),($C$5*'SA Apr 2022'!N8/100)))</f>
        <v>1466.8181818181818</v>
      </c>
      <c r="E14" s="46">
        <f>IF(AND('SA Apr 2022'!P8&gt;0,'SA Apr 2022'!R8&gt;0),IF($C$5&lt;'SA Apr 2022'!P8,0,IF($C$5&lt;=('SA Apr 2022'!R8+'SA Apr 2022'!P8),(($C$5-'SA Apr 2022'!P8)*'SA Apr 2022'!Q8/100),(('SA Apr 2022'!R8)*'SA Apr 2022'!Q8/100))),0)</f>
        <v>0</v>
      </c>
      <c r="F14" s="46">
        <f>IF(AND('SA Apr 2022'!Q8&gt;0,'SA Apr 2022'!S8&gt;0),IF($C$5&lt;('SA Apr 2022'!R8+'SA Apr 2022'!P8),0,IF($C$5&lt;=('SA Apr 2022'!T8+'SA Apr 2022'!R8+'SA Apr 2022'!P8),(($C$5-('SA Apr 2022'!R8+'SA Apr 2022'!P8))*'SA Apr 2022'!S8/100),('SA Apr 2022'!T8*'SA Apr 2022'!S8/100))),0)</f>
        <v>0</v>
      </c>
      <c r="G14" s="50">
        <v>0</v>
      </c>
      <c r="H14" s="46">
        <f>IF(AND('SA Apr 2022'!R8&gt;0,'SA Apr 2022'!T8&gt;0),IF(($C$5&lt;'SA Apr 2022'!T8),(0),($C$5-'SA Apr 2022'!T8)*'SA Apr 2022'!U8/100),IF(AND('SA Apr 2022'!R8&gt;0,'SA Apr 2022'!T8=""),IF(($C$5&lt;'SA Apr 2022'!R8+'SA Apr 2022'!P8),(0),(($C$5-('SA Apr 2022'!R8+'SA Apr 2022'!P8))*'SA Apr 2022'!S8/100)),IF(AND('SA Apr 2022'!P8&gt;0,'SA Apr 2022'!R8=""&gt;0),IF(($C$5&lt;'SA Apr 2022'!P8),(0),($C$5-'SA Apr 2022'!P8)*'SA Apr 2022'!Q8/100),0)))</f>
        <v>0</v>
      </c>
      <c r="I14" s="52">
        <f t="shared" si="10"/>
        <v>1533.5542727272727</v>
      </c>
      <c r="J14" s="109">
        <f t="shared" si="3"/>
        <v>5867.272727272727</v>
      </c>
      <c r="K14" s="109">
        <f t="shared" si="0"/>
        <v>6134.217090909091</v>
      </c>
      <c r="L14" s="53">
        <f t="shared" si="4"/>
        <v>6747.6388000000006</v>
      </c>
      <c r="M14" s="54">
        <f>'SA Apr 2022'!BB8</f>
        <v>0</v>
      </c>
      <c r="N14" s="54">
        <f>'SA Apr 2022'!BC8</f>
        <v>0</v>
      </c>
      <c r="O14" s="54">
        <f>'SA Apr 2022'!BD8</f>
        <v>0</v>
      </c>
      <c r="P14" s="54">
        <f>'SA Apr 2022'!BE8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6134.217090909091</v>
      </c>
      <c r="T14" s="112">
        <f t="shared" si="8"/>
        <v>6134.217090909091</v>
      </c>
      <c r="U14" s="97">
        <f t="shared" si="6"/>
        <v>6747.6388000000006</v>
      </c>
      <c r="V14" s="98">
        <f t="shared" si="6"/>
        <v>6747.6388000000006</v>
      </c>
      <c r="W14" s="55">
        <f>'SA Apr 2022'!BL8</f>
        <v>0</v>
      </c>
      <c r="X14" s="56">
        <f>'SA Apr 2022'!BM8</f>
        <v>0</v>
      </c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</row>
    <row r="15" spans="1:44" ht="14" x14ac:dyDescent="0.15">
      <c r="A15" s="70" t="str">
        <f>'SA Apr 2022'!K9</f>
        <v>Red Energy</v>
      </c>
      <c r="B15" s="49" t="str">
        <f>'SA Apr 2022'!L9</f>
        <v>Red Business Saver</v>
      </c>
      <c r="C15" s="46">
        <f>IF('SA Apr 2022'!BP9=0,91*'SA Apr 2022'!M9/100,(91*'SA Apr 2022'!M9/100)+'SA Apr 2022'!BP9/4)</f>
        <v>78.276545454545442</v>
      </c>
      <c r="D15" s="46">
        <f>IF('SA Apr 2022'!O9="",$C$5*'SA Apr 2022'!N9/100,IF($C$5&gt;='SA Apr 2022'!P9,('SA Apr 2022'!P9*'SA Apr 2022'!N9/100),($C$5*'SA Apr 2022'!N9/100)))</f>
        <v>1477.7272727272727</v>
      </c>
      <c r="E15" s="46">
        <f>IF(AND('SA Apr 2022'!P9&gt;0,'SA Apr 2022'!R9&gt;0),IF($C$5&lt;'SA Apr 2022'!P9,0,IF($C$5&lt;=('SA Apr 2022'!R9+'SA Apr 2022'!P9),(($C$5-'SA Apr 2022'!P9)*'SA Apr 2022'!Q9/100),(('SA Apr 2022'!R9)*'SA Apr 2022'!Q9/100))),0)</f>
        <v>0</v>
      </c>
      <c r="F15" s="46">
        <f>IF(AND('SA Apr 2022'!Q9&gt;0,'SA Apr 2022'!S9&gt;0),IF($C$5&lt;('SA Apr 2022'!R9+'SA Apr 2022'!P9),0,IF($C$5&lt;=('SA Apr 2022'!T9+'SA Apr 2022'!R9+'SA Apr 2022'!P9),(($C$5-('SA Apr 2022'!R9+'SA Apr 2022'!P9))*'SA Apr 2022'!S9/100),('SA Apr 2022'!T9*'SA Apr 2022'!S9/100))),0)</f>
        <v>0</v>
      </c>
      <c r="G15" s="50">
        <v>0</v>
      </c>
      <c r="H15" s="46">
        <f>IF(AND('SA Apr 2022'!R9&gt;0,'SA Apr 2022'!T9&gt;0),IF(($C$5&lt;'SA Apr 2022'!T9),(0),($C$5-'SA Apr 2022'!T9)*'SA Apr 2022'!U9/100),IF(AND('SA Apr 2022'!R9&gt;0,'SA Apr 2022'!T9=""),IF(($C$5&lt;'SA Apr 2022'!R9+'SA Apr 2022'!P9),(0),(($C$5-('SA Apr 2022'!R9+'SA Apr 2022'!P9))*'SA Apr 2022'!S9/100)),IF(AND('SA Apr 2022'!P9&gt;0,'SA Apr 2022'!R9=""&gt;0),IF(($C$5&lt;'SA Apr 2022'!P9),(0),($C$5-'SA Apr 2022'!P9)*'SA Apr 2022'!Q9/100),0)))</f>
        <v>0</v>
      </c>
      <c r="I15" s="52">
        <f t="shared" si="10"/>
        <v>1556.0038181818181</v>
      </c>
      <c r="J15" s="109">
        <f t="shared" si="3"/>
        <v>5910.909090909091</v>
      </c>
      <c r="K15" s="109">
        <f t="shared" si="0"/>
        <v>6224.0152727272725</v>
      </c>
      <c r="L15" s="53">
        <f t="shared" si="4"/>
        <v>6846.4168</v>
      </c>
      <c r="M15" s="54">
        <f>'SA Apr 2022'!BB9</f>
        <v>0</v>
      </c>
      <c r="N15" s="54">
        <f>'SA Apr 2022'!BC9</f>
        <v>0</v>
      </c>
      <c r="O15" s="54">
        <f>'SA Apr 2022'!BD9</f>
        <v>0</v>
      </c>
      <c r="P15" s="54">
        <f>'SA Apr 2022'!BE9</f>
        <v>0</v>
      </c>
      <c r="Q15" s="110" t="str">
        <f t="shared" si="5"/>
        <v>No discount</v>
      </c>
      <c r="R15" s="73" t="str">
        <f t="shared" si="1"/>
        <v>Inclusive</v>
      </c>
      <c r="S15" s="111">
        <f t="shared" si="7"/>
        <v>6224.0152727272725</v>
      </c>
      <c r="T15" s="112">
        <f t="shared" si="8"/>
        <v>6224.0152727272725</v>
      </c>
      <c r="U15" s="97">
        <f t="shared" si="6"/>
        <v>6846.4168</v>
      </c>
      <c r="V15" s="98">
        <f t="shared" si="6"/>
        <v>6846.4168</v>
      </c>
      <c r="W15" s="55">
        <f>'SA Apr 2022'!BL9</f>
        <v>0</v>
      </c>
      <c r="X15" s="56">
        <f>'SA Apr 2022'!BM9</f>
        <v>0</v>
      </c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</row>
    <row r="16" spans="1:44" ht="14" x14ac:dyDescent="0.15">
      <c r="A16" s="70" t="str">
        <f>'SA Apr 2022'!K10</f>
        <v>Simply Energy</v>
      </c>
      <c r="B16" s="49" t="str">
        <f>'SA Apr 2022'!L10</f>
        <v>Business Saver - 18% off</v>
      </c>
      <c r="C16" s="46">
        <f>IF('SA Apr 2022'!BP10=0,91*'SA Apr 2022'!M10/100,(91*'SA Apr 2022'!M10/100)+'SA Apr 2022'!BP10/4)</f>
        <v>88.179000000000002</v>
      </c>
      <c r="D16" s="46">
        <f>IF('SA Apr 2022'!O10="",$C$5*'SA Apr 2022'!N10/100,IF($C$5&gt;='SA Apr 2022'!P10,('SA Apr 2022'!P10*'SA Apr 2022'!N10/100),($C$5*'SA Apr 2022'!N10/100)))</f>
        <v>1388.4283636363637</v>
      </c>
      <c r="E16" s="46">
        <f>IF(AND('SA Apr 2022'!P10&gt;0,'SA Apr 2022'!R10&gt;0),IF($C$5&lt;'SA Apr 2022'!P10,0,IF($C$5&lt;=('SA Apr 2022'!R10+'SA Apr 2022'!P10),(($C$5-'SA Apr 2022'!P10)*'SA Apr 2022'!Q10/100),(('SA Apr 2022'!R10)*'SA Apr 2022'!Q10/100))),0)</f>
        <v>0</v>
      </c>
      <c r="F16" s="46">
        <f>IF(AND('SA Apr 2022'!Q10&gt;0,'SA Apr 2022'!S10&gt;0),IF($C$5&lt;('SA Apr 2022'!R10+'SA Apr 2022'!P10),0,IF($C$5&lt;=('SA Apr 2022'!T10+'SA Apr 2022'!R10+'SA Apr 2022'!P10),(($C$5-('SA Apr 2022'!R10+'SA Apr 2022'!P10))*'SA Apr 2022'!S10/100),('SA Apr 2022'!T10*'SA Apr 2022'!S10/100))),0)</f>
        <v>0</v>
      </c>
      <c r="G16" s="50">
        <v>0</v>
      </c>
      <c r="H16" s="46">
        <f>IF(AND('SA Apr 2022'!R10&gt;0,'SA Apr 2022'!T10&gt;0),IF(($C$5&lt;'SA Apr 2022'!T10),(0),($C$5-'SA Apr 2022'!T10)*'SA Apr 2022'!U10/100),IF(AND('SA Apr 2022'!R10&gt;0,'SA Apr 2022'!T10=""),IF(($C$5&lt;'SA Apr 2022'!R10+'SA Apr 2022'!P10),(0),(($C$5-('SA Apr 2022'!R10+'SA Apr 2022'!P10))*'SA Apr 2022'!S10/100)),IF(AND('SA Apr 2022'!P10&gt;0,'SA Apr 2022'!R10=""&gt;0),IF(($C$5&lt;'SA Apr 2022'!P10),(0),($C$5-'SA Apr 2022'!P10)*'SA Apr 2022'!Q10/100),0)))</f>
        <v>418.29709090909091</v>
      </c>
      <c r="I16" s="52">
        <f t="shared" si="10"/>
        <v>1894.9044545454547</v>
      </c>
      <c r="J16" s="109">
        <f t="shared" si="3"/>
        <v>7226.9018181818183</v>
      </c>
      <c r="K16" s="109">
        <f t="shared" si="0"/>
        <v>7579.6178181818186</v>
      </c>
      <c r="L16" s="53">
        <f t="shared" si="4"/>
        <v>8337.5796000000009</v>
      </c>
      <c r="M16" s="54">
        <f>'SA Apr 2022'!BB10</f>
        <v>18</v>
      </c>
      <c r="N16" s="54">
        <f>'SA Apr 2022'!BC10</f>
        <v>0</v>
      </c>
      <c r="O16" s="54">
        <f>'SA Apr 2022'!BD10</f>
        <v>0</v>
      </c>
      <c r="P16" s="54">
        <f>'SA Apr 2022'!BE10</f>
        <v>0</v>
      </c>
      <c r="Q16" s="110" t="str">
        <f t="shared" si="5"/>
        <v>Guaranteed off bill</v>
      </c>
      <c r="R16" s="73" t="str">
        <f t="shared" si="1"/>
        <v>Exclusive</v>
      </c>
      <c r="S16" s="111">
        <f t="shared" si="7"/>
        <v>6215.286610909091</v>
      </c>
      <c r="T16" s="112">
        <f t="shared" si="8"/>
        <v>6215.286610909091</v>
      </c>
      <c r="U16" s="97">
        <f t="shared" si="6"/>
        <v>6836.8152720000007</v>
      </c>
      <c r="V16" s="98">
        <f t="shared" si="6"/>
        <v>6836.8152720000007</v>
      </c>
      <c r="W16" s="55">
        <f>'SA Apr 2022'!BL10</f>
        <v>0</v>
      </c>
      <c r="X16" s="56">
        <f>'SA Apr 2022'!BM10</f>
        <v>0</v>
      </c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37"/>
      <c r="AJ16" s="337"/>
      <c r="AK16" s="337"/>
      <c r="AL16" s="337"/>
      <c r="AM16" s="337"/>
      <c r="AN16" s="337"/>
      <c r="AO16" s="337"/>
      <c r="AP16" s="337"/>
      <c r="AQ16" s="337"/>
      <c r="AR16" s="337"/>
    </row>
    <row r="17" spans="1:44" ht="14" x14ac:dyDescent="0.15">
      <c r="A17" s="70" t="str">
        <f>'SA Apr 2022'!K11</f>
        <v>Blue NRG</v>
      </c>
      <c r="B17" s="49" t="str">
        <f>'SA Apr 2022'!L11</f>
        <v>Blue Business Lightning</v>
      </c>
      <c r="C17" s="46">
        <f>IF('SA Apr 2022'!BP11=0,91*'SA Apr 2022'!M11/100,(91*'SA Apr 2022'!M11/100)+'SA Apr 2022'!BP11/4)</f>
        <v>90.379545454545436</v>
      </c>
      <c r="D17" s="46">
        <f>IF('SA Apr 2022'!O11="",$C$5*'SA Apr 2022'!N11/100,IF($C$5&gt;='SA Apr 2022'!P11,('SA Apr 2022'!P11*'SA Apr 2022'!N11/100),($C$5*'SA Apr 2022'!N11/100)))</f>
        <v>1305.4545454545453</v>
      </c>
      <c r="E17" s="46">
        <f>IF(AND('SA Apr 2022'!P11&gt;0,'SA Apr 2022'!R11&gt;0),IF($C$5&lt;'SA Apr 2022'!P11,0,IF($C$5&lt;=('SA Apr 2022'!R11+'SA Apr 2022'!P11),(($C$5-'SA Apr 2022'!P11)*'SA Apr 2022'!Q11/100),(('SA Apr 2022'!R11)*'SA Apr 2022'!Q11/100))),0)</f>
        <v>0</v>
      </c>
      <c r="F17" s="46">
        <f>IF(AND('SA Apr 2022'!Q11&gt;0,'SA Apr 2022'!S11&gt;0),IF($C$5&lt;('SA Apr 2022'!R11+'SA Apr 2022'!P11),0,IF($C$5&lt;=('SA Apr 2022'!T11+'SA Apr 2022'!R11+'SA Apr 2022'!P11),(($C$5-('SA Apr 2022'!R11+'SA Apr 2022'!P11))*'SA Apr 2022'!S11/100),('SA Apr 2022'!T11*'SA Apr 2022'!S11/100))),0)</f>
        <v>0</v>
      </c>
      <c r="G17" s="50">
        <v>0</v>
      </c>
      <c r="H17" s="46">
        <f>IF(AND('SA Apr 2022'!R11&gt;0,'SA Apr 2022'!T11&gt;0),IF(($C$5&lt;'SA Apr 2022'!T11),(0),($C$5-'SA Apr 2022'!T11)*'SA Apr 2022'!U11/100),IF(AND('SA Apr 2022'!R11&gt;0,'SA Apr 2022'!T11=""),IF(($C$5&lt;'SA Apr 2022'!R11+'SA Apr 2022'!P11),(0),(($C$5-('SA Apr 2022'!R11+'SA Apr 2022'!P11))*'SA Apr 2022'!S11/100)),IF(AND('SA Apr 2022'!P11&gt;0,'SA Apr 2022'!R11=""&gt;0),IF(($C$5&lt;'SA Apr 2022'!P11),(0),($C$5-'SA Apr 2022'!P11)*'SA Apr 2022'!Q11/100),0)))</f>
        <v>0</v>
      </c>
      <c r="I17" s="52">
        <f t="shared" si="10"/>
        <v>1395.8340909090907</v>
      </c>
      <c r="J17" s="109">
        <f t="shared" si="3"/>
        <v>5221.8181818181811</v>
      </c>
      <c r="K17" s="109">
        <f t="shared" si="0"/>
        <v>5583.3363636363629</v>
      </c>
      <c r="L17" s="53">
        <f t="shared" si="4"/>
        <v>6141.67</v>
      </c>
      <c r="M17" s="54">
        <f>'SA Apr 2022'!BB11</f>
        <v>0</v>
      </c>
      <c r="N17" s="54">
        <f>'SA Apr 2022'!BC11</f>
        <v>0</v>
      </c>
      <c r="O17" s="54">
        <f>'SA Apr 2022'!BD11</f>
        <v>0</v>
      </c>
      <c r="P17" s="54">
        <f>'SA Apr 2022'!BE11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5583.3363636363629</v>
      </c>
      <c r="T17" s="112">
        <f t="shared" si="8"/>
        <v>5583.3363636363629</v>
      </c>
      <c r="U17" s="97">
        <f t="shared" si="6"/>
        <v>6141.67</v>
      </c>
      <c r="V17" s="98">
        <f t="shared" si="6"/>
        <v>6141.67</v>
      </c>
      <c r="W17" s="55">
        <f>'SA Apr 2022'!BL11</f>
        <v>0</v>
      </c>
      <c r="X17" s="56">
        <f>'SA Apr 2022'!BM11</f>
        <v>0</v>
      </c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</row>
    <row r="18" spans="1:44" ht="14" x14ac:dyDescent="0.15">
      <c r="A18" s="70" t="str">
        <f>'SA Apr 2022'!K12</f>
        <v>Powershop</v>
      </c>
      <c r="B18" s="49" t="str">
        <f>'SA Apr 2022'!L12</f>
        <v>100% Carbon Neutral</v>
      </c>
      <c r="C18" s="46">
        <f>IF('SA Apr 2022'!BP12=0,91*'SA Apr 2022'!M12/100,(91*'SA Apr 2022'!M12/100)+'SA Apr 2022'!BP12/4)</f>
        <v>104.64999999999998</v>
      </c>
      <c r="D18" s="46">
        <f>IF('SA Apr 2022'!O12="",$C$5*'SA Apr 2022'!N12/100,IF($C$5&gt;='SA Apr 2022'!P12,('SA Apr 2022'!P12*'SA Apr 2022'!N12/100),($C$5*'SA Apr 2022'!N12/100)))</f>
        <v>1495</v>
      </c>
      <c r="E18" s="46">
        <f>IF(AND('SA Apr 2022'!P12&gt;0,'SA Apr 2022'!R12&gt;0),IF($C$5&lt;'SA Apr 2022'!P12,0,IF($C$5&lt;=('SA Apr 2022'!R12+'SA Apr 2022'!P12),(($C$5-'SA Apr 2022'!P12)*'SA Apr 2022'!Q12/100),(('SA Apr 2022'!R12)*'SA Apr 2022'!Q12/100))),0)</f>
        <v>0</v>
      </c>
      <c r="F18" s="46">
        <f>IF(AND('SA Apr 2022'!Q12&gt;0,'SA Apr 2022'!S12&gt;0),IF($C$5&lt;('SA Apr 2022'!R12+'SA Apr 2022'!P12),0,IF($C$5&lt;=('SA Apr 2022'!T12+'SA Apr 2022'!R12+'SA Apr 2022'!P12),(($C$5-('SA Apr 2022'!R12+'SA Apr 2022'!P12))*'SA Apr 2022'!S12/100),('SA Apr 2022'!T12*'SA Apr 2022'!S12/100))),0)</f>
        <v>0</v>
      </c>
      <c r="G18" s="50">
        <v>0</v>
      </c>
      <c r="H18" s="46">
        <f>IF(AND('SA Apr 2022'!R12&gt;0,'SA Apr 2022'!T12&gt;0),IF(($C$5&lt;'SA Apr 2022'!T12),(0),($C$5-'SA Apr 2022'!T12)*'SA Apr 2022'!U12/100),IF(AND('SA Apr 2022'!R12&gt;0,'SA Apr 2022'!T12=""),IF(($C$5&lt;'SA Apr 2022'!R12+'SA Apr 2022'!P12),(0),(($C$5-('SA Apr 2022'!R12+'SA Apr 2022'!P12))*'SA Apr 2022'!S12/100)),IF(AND('SA Apr 2022'!P12&gt;0,'SA Apr 2022'!R12=""&gt;0),IF(($C$5&lt;'SA Apr 2022'!P12),(0),($C$5-'SA Apr 2022'!P12)*'SA Apr 2022'!Q12/100),0)))</f>
        <v>0</v>
      </c>
      <c r="I18" s="52">
        <f t="shared" si="10"/>
        <v>1599.65</v>
      </c>
      <c r="J18" s="109">
        <f t="shared" si="3"/>
        <v>5980</v>
      </c>
      <c r="K18" s="109">
        <f t="shared" si="0"/>
        <v>6398.6</v>
      </c>
      <c r="L18" s="53">
        <f t="shared" si="4"/>
        <v>7038.4600000000009</v>
      </c>
      <c r="M18" s="54">
        <f>'SA Apr 2022'!BB12</f>
        <v>0</v>
      </c>
      <c r="N18" s="54">
        <f>'SA Apr 2022'!BC12</f>
        <v>0</v>
      </c>
      <c r="O18" s="54">
        <f>'SA Apr 2022'!BD12</f>
        <v>0</v>
      </c>
      <c r="P18" s="54">
        <f>'SA Apr 2022'!BE12</f>
        <v>0</v>
      </c>
      <c r="Q18" s="110" t="str">
        <f t="shared" si="5"/>
        <v>No discount</v>
      </c>
      <c r="R18" s="73" t="str">
        <f t="shared" si="1"/>
        <v>Inclusive</v>
      </c>
      <c r="S18" s="111">
        <f t="shared" si="7"/>
        <v>6398.6</v>
      </c>
      <c r="T18" s="112">
        <f t="shared" si="8"/>
        <v>6398.6</v>
      </c>
      <c r="U18" s="97">
        <f t="shared" si="6"/>
        <v>7038.4600000000009</v>
      </c>
      <c r="V18" s="98">
        <f t="shared" si="6"/>
        <v>7038.4600000000009</v>
      </c>
      <c r="W18" s="55">
        <f>'SA Apr 2022'!BL12</f>
        <v>0</v>
      </c>
      <c r="X18" s="56">
        <f>'SA Apr 2022'!BM12</f>
        <v>0</v>
      </c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  <c r="AN18" s="332"/>
      <c r="AO18" s="332"/>
      <c r="AP18" s="332"/>
      <c r="AQ18" s="332"/>
      <c r="AR18" s="332"/>
    </row>
    <row r="19" spans="1:44" ht="14" x14ac:dyDescent="0.15">
      <c r="A19" s="70" t="str">
        <f>'SA Apr 2022'!K13</f>
        <v>Powerclub</v>
      </c>
      <c r="B19" s="49" t="str">
        <f>'SA Apr 2022'!L13</f>
        <v>Powerbank Bis</v>
      </c>
      <c r="C19" s="46">
        <f>IF('SA Apr 2022'!BP13=0,91*'SA Apr 2022'!M13/100,(91*'SA Apr 2022'!M13/100)+'SA Apr 2022'!BP13/4)</f>
        <v>100.16227272727271</v>
      </c>
      <c r="D19" s="46">
        <f>IF('SA Apr 2022'!O13="",$C$5*'SA Apr 2022'!N13/100,IF($C$5&gt;='SA Apr 2022'!P13,('SA Apr 2022'!P13*'SA Apr 2022'!N13/100),($C$5*'SA Apr 2022'!N13/100)))</f>
        <v>1213.181818181818</v>
      </c>
      <c r="E19" s="46">
        <f>IF(AND('SA Apr 2022'!P13&gt;0,'SA Apr 2022'!R13&gt;0),IF($C$5&lt;'SA Apr 2022'!P13,0,IF($C$5&lt;=('SA Apr 2022'!R13+'SA Apr 2022'!P13),(($C$5-'SA Apr 2022'!P13)*'SA Apr 2022'!Q13/100),(('SA Apr 2022'!R13)*'SA Apr 2022'!Q13/100))),0)</f>
        <v>0</v>
      </c>
      <c r="F19" s="46">
        <f>IF(AND('SA Apr 2022'!Q13&gt;0,'SA Apr 2022'!S13&gt;0),IF($C$5&lt;('SA Apr 2022'!R13+'SA Apr 2022'!P13),0,IF($C$5&lt;=('SA Apr 2022'!T13+'SA Apr 2022'!R13+'SA Apr 2022'!P13),(($C$5-('SA Apr 2022'!R13+'SA Apr 2022'!P13))*'SA Apr 2022'!S13/100),('SA Apr 2022'!T13*'SA Apr 2022'!S13/100))),0)</f>
        <v>0</v>
      </c>
      <c r="G19" s="50">
        <v>0</v>
      </c>
      <c r="H19" s="46">
        <f>IF(AND('SA Apr 2022'!R13&gt;0,'SA Apr 2022'!T13&gt;0),IF(($C$5&lt;'SA Apr 2022'!T13),(0),($C$5-'SA Apr 2022'!T13)*'SA Apr 2022'!U13/100),IF(AND('SA Apr 2022'!R13&gt;0,'SA Apr 2022'!T13=""),IF(($C$5&lt;'SA Apr 2022'!R13+'SA Apr 2022'!P13),(0),(($C$5-('SA Apr 2022'!R13+'SA Apr 2022'!P13))*'SA Apr 2022'!S13/100)),IF(AND('SA Apr 2022'!P13&gt;0,'SA Apr 2022'!R13=""&gt;0),IF(($C$5&lt;'SA Apr 2022'!P13),(0),($C$5-'SA Apr 2022'!P13)*'SA Apr 2022'!Q13/100),0)))</f>
        <v>0</v>
      </c>
      <c r="I19" s="52">
        <f t="shared" si="10"/>
        <v>1313.3440909090907</v>
      </c>
      <c r="J19" s="109">
        <f t="shared" si="3"/>
        <v>4852.7272727272721</v>
      </c>
      <c r="K19" s="109">
        <f t="shared" si="0"/>
        <v>5253.3763636363628</v>
      </c>
      <c r="L19" s="53">
        <f t="shared" si="4"/>
        <v>5778.7139999999999</v>
      </c>
      <c r="M19" s="54">
        <f>'SA Apr 2022'!BB13</f>
        <v>0</v>
      </c>
      <c r="N19" s="54">
        <f>'SA Apr 2022'!BC13</f>
        <v>0</v>
      </c>
      <c r="O19" s="54">
        <f>'SA Apr 2022'!BD13</f>
        <v>0</v>
      </c>
      <c r="P19" s="54">
        <f>'SA Apr 2022'!BE13</f>
        <v>0</v>
      </c>
      <c r="Q19" s="110" t="str">
        <f t="shared" si="5"/>
        <v>No discount</v>
      </c>
      <c r="R19" s="73" t="str">
        <f t="shared" si="1"/>
        <v>Exclusive</v>
      </c>
      <c r="S19" s="111">
        <f t="shared" si="7"/>
        <v>5253.3763636363628</v>
      </c>
      <c r="T19" s="112">
        <f t="shared" si="8"/>
        <v>5253.3763636363628</v>
      </c>
      <c r="U19" s="97">
        <f t="shared" si="6"/>
        <v>5778.7139999999999</v>
      </c>
      <c r="V19" s="98">
        <f t="shared" si="6"/>
        <v>5778.7139999999999</v>
      </c>
      <c r="W19" s="55">
        <f>'SA Apr 2022'!BL13</f>
        <v>0</v>
      </c>
      <c r="X19" s="56">
        <f>'SA Apr 2022'!BM13</f>
        <v>0</v>
      </c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</row>
    <row r="20" spans="1:44" ht="14" x14ac:dyDescent="0.15">
      <c r="A20" s="70" t="str">
        <f>'SA Apr 2022'!K14</f>
        <v>Energy Locals</v>
      </c>
      <c r="B20" s="49" t="str">
        <f>'SA Apr 2022'!L14</f>
        <v>Business Member</v>
      </c>
      <c r="C20" s="46">
        <f>IF('SA Apr 2022'!BP14=0,91*'SA Apr 2022'!M14/100,(91*'SA Apr 2022'!M14/100)+'SA Apr 2022'!BP14/4)</f>
        <v>104.59545454545454</v>
      </c>
      <c r="D20" s="46">
        <f>IF('SA Apr 2022'!O14="",$C$5*'SA Apr 2022'!N14/100,IF($C$5&gt;='SA Apr 2022'!P14,('SA Apr 2022'!P14*'SA Apr 2022'!N14/100),($C$5*'SA Apr 2022'!N14/100)))</f>
        <v>1295.4545454545453</v>
      </c>
      <c r="E20" s="46">
        <f>IF(AND('SA Apr 2022'!P14&gt;0,'SA Apr 2022'!R14&gt;0),IF($C$5&lt;'SA Apr 2022'!P14,0,IF($C$5&lt;=('SA Apr 2022'!R14+'SA Apr 2022'!P14),(($C$5-'SA Apr 2022'!P14)*'SA Apr 2022'!Q14/100),(('SA Apr 2022'!R14)*'SA Apr 2022'!Q14/100))),0)</f>
        <v>0</v>
      </c>
      <c r="F20" s="46">
        <f>IF(AND('SA Apr 2022'!Q14&gt;0,'SA Apr 2022'!S14&gt;0),IF($C$5&lt;('SA Apr 2022'!R14+'SA Apr 2022'!P14),0,IF($C$5&lt;=('SA Apr 2022'!T14+'SA Apr 2022'!R14+'SA Apr 2022'!P14),(($C$5-('SA Apr 2022'!R14+'SA Apr 2022'!P14))*'SA Apr 2022'!S14/100),('SA Apr 2022'!T14*'SA Apr 2022'!S14/100))),0)</f>
        <v>0</v>
      </c>
      <c r="G20" s="50">
        <v>0</v>
      </c>
      <c r="H20" s="46">
        <f>IF(AND('SA Apr 2022'!R14&gt;0,'SA Apr 2022'!T14&gt;0),IF(($C$5&lt;'SA Apr 2022'!T14),(0),($C$5-'SA Apr 2022'!T14)*'SA Apr 2022'!U14/100),IF(AND('SA Apr 2022'!R14&gt;0,'SA Apr 2022'!T14=""),IF(($C$5&lt;'SA Apr 2022'!R14+'SA Apr 2022'!P14),(0),(($C$5-('SA Apr 2022'!R14+'SA Apr 2022'!P14))*'SA Apr 2022'!S14/100)),IF(AND('SA Apr 2022'!P14&gt;0,'SA Apr 2022'!R14=""&gt;0),IF(($C$5&lt;'SA Apr 2022'!P14),(0),($C$5-'SA Apr 2022'!P14)*'SA Apr 2022'!Q14/100),0)))</f>
        <v>0</v>
      </c>
      <c r="I20" s="52">
        <f t="shared" si="10"/>
        <v>1400.0499999999997</v>
      </c>
      <c r="J20" s="109">
        <f t="shared" si="3"/>
        <v>5181.8181818181811</v>
      </c>
      <c r="K20" s="109">
        <f t="shared" si="0"/>
        <v>5600.1999999999989</v>
      </c>
      <c r="L20" s="53">
        <f t="shared" si="4"/>
        <v>6160.2199999999993</v>
      </c>
      <c r="M20" s="54">
        <f>'SA Apr 2022'!BB14</f>
        <v>0</v>
      </c>
      <c r="N20" s="54">
        <f>'SA Apr 2022'!BC14</f>
        <v>0</v>
      </c>
      <c r="O20" s="54">
        <f>'SA Apr 2022'!BD14</f>
        <v>0</v>
      </c>
      <c r="P20" s="54">
        <f>'SA Apr 2022'!BE14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5600.1999999999989</v>
      </c>
      <c r="T20" s="112">
        <f t="shared" si="8"/>
        <v>5600.1999999999989</v>
      </c>
      <c r="U20" s="97">
        <f t="shared" si="6"/>
        <v>6160.2199999999993</v>
      </c>
      <c r="V20" s="98">
        <f t="shared" si="6"/>
        <v>6160.2199999999993</v>
      </c>
      <c r="W20" s="55">
        <f>'SA Apr 2022'!BL14</f>
        <v>0</v>
      </c>
      <c r="X20" s="56">
        <f>'SA Apr 2022'!BM14</f>
        <v>0</v>
      </c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</row>
    <row r="21" spans="1:44" ht="14" x14ac:dyDescent="0.15">
      <c r="A21" s="70" t="str">
        <f>'SA Apr 2022'!K15</f>
        <v>Future X Power</v>
      </c>
      <c r="B21" s="73" t="str">
        <f>'SA Apr 2022'!L15</f>
        <v>Market Offer</v>
      </c>
      <c r="C21" s="46">
        <f>IF('SA Apr 2022'!BP15=0,91*'SA Apr 2022'!M15/100,(91*'SA Apr 2022'!M15/100)+'SA Apr 2022'!BP15/4)</f>
        <v>78.077999999999989</v>
      </c>
      <c r="D21" s="46">
        <f>IF('SA Apr 2022'!O15="",$C$5*'SA Apr 2022'!N15/100,IF($C$5&gt;='SA Apr 2022'!P15,('SA Apr 2022'!P15*'SA Apr 2022'!N15/100),($C$5*'SA Apr 2022'!N15/100)))</f>
        <v>1520.909090909091</v>
      </c>
      <c r="E21" s="46">
        <f>IF(AND('SA Apr 2022'!P15&gt;0,'SA Apr 2022'!R15&gt;0),IF($C$5&lt;'SA Apr 2022'!P15,0,IF($C$5&lt;=('SA Apr 2022'!R15+'SA Apr 2022'!P15),(($C$5-'SA Apr 2022'!P15)*'SA Apr 2022'!Q15/100),(('SA Apr 2022'!R15)*'SA Apr 2022'!Q15/100))),0)</f>
        <v>0</v>
      </c>
      <c r="F21" s="46">
        <f>IF(AND('SA Apr 2022'!Q15&gt;0,'SA Apr 2022'!S15&gt;0),IF($C$5&lt;('SA Apr 2022'!R15+'SA Apr 2022'!P15),0,IF($C$5&lt;=('SA Apr 2022'!T15+'SA Apr 2022'!R15+'SA Apr 2022'!P15),(($C$5-('SA Apr 2022'!R15+'SA Apr 2022'!P15))*'SA Apr 2022'!S15/100),('SA Apr 2022'!T15*'SA Apr 2022'!S15/100))),0)</f>
        <v>0</v>
      </c>
      <c r="G21" s="50">
        <v>0</v>
      </c>
      <c r="H21" s="46">
        <f>IF(AND('SA Apr 2022'!R15&gt;0,'SA Apr 2022'!T15&gt;0),IF(($C$5&lt;'SA Apr 2022'!T15),(0),($C$5-'SA Apr 2022'!T15)*'SA Apr 2022'!U15/100),IF(AND('SA Apr 2022'!R15&gt;0,'SA Apr 2022'!T15=""),IF(($C$5&lt;'SA Apr 2022'!R15+'SA Apr 2022'!P15),(0),(($C$5-('SA Apr 2022'!R15+'SA Apr 2022'!P15))*'SA Apr 2022'!S15/100)),IF(AND('SA Apr 2022'!P15&gt;0,'SA Apr 2022'!R15=""&gt;0),IF(($C$5&lt;'SA Apr 2022'!P15),(0),($C$5-'SA Apr 2022'!P15)*'SA Apr 2022'!Q15/100),0)))</f>
        <v>0</v>
      </c>
      <c r="I21" s="52">
        <f t="shared" si="10"/>
        <v>1598.987090909091</v>
      </c>
      <c r="J21" s="111">
        <f t="shared" si="3"/>
        <v>6083.636363636364</v>
      </c>
      <c r="K21" s="112">
        <f t="shared" si="0"/>
        <v>6395.9483636363639</v>
      </c>
      <c r="L21" s="53">
        <f t="shared" si="4"/>
        <v>7035.543200000001</v>
      </c>
      <c r="M21" s="54">
        <f>'SA Apr 2022'!BB15</f>
        <v>0</v>
      </c>
      <c r="N21" s="54">
        <f>'SA Apr 2022'!BC15</f>
        <v>0</v>
      </c>
      <c r="O21" s="54">
        <f>'SA Apr 2022'!BD15</f>
        <v>0</v>
      </c>
      <c r="P21" s="54">
        <f>'SA Apr 2022'!BE15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6395.9483636363639</v>
      </c>
      <c r="T21" s="112">
        <f t="shared" si="8"/>
        <v>6395.9483636363639</v>
      </c>
      <c r="U21" s="97">
        <f t="shared" si="6"/>
        <v>7035.543200000001</v>
      </c>
      <c r="V21" s="98">
        <f t="shared" si="6"/>
        <v>7035.543200000001</v>
      </c>
      <c r="W21" s="55">
        <f>'SA Apr 2022'!BL15</f>
        <v>0</v>
      </c>
      <c r="X21" s="56">
        <f>'SA Apr 2022'!BM15</f>
        <v>0</v>
      </c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337"/>
      <c r="AN21" s="337"/>
      <c r="AO21" s="337"/>
      <c r="AP21" s="337"/>
      <c r="AQ21" s="337"/>
      <c r="AR21" s="337"/>
    </row>
    <row r="22" spans="1:44" ht="14" x14ac:dyDescent="0.15">
      <c r="A22" s="70" t="str">
        <f>'SA Apr 2022'!K16</f>
        <v>Discover Energy</v>
      </c>
      <c r="B22" s="73" t="str">
        <f>'SA Apr 2022'!L16</f>
        <v>Smart Saver</v>
      </c>
      <c r="C22" s="46">
        <f>IF('SA Apr 2022'!BP16=0,91*'SA Apr 2022'!M16/100,(91*'SA Apr 2022'!M16/100)+'SA Apr 2022'!BP16/4)</f>
        <v>64.609999999999985</v>
      </c>
      <c r="D22" s="46">
        <f>IF('SA Apr 2022'!O16="",$C$5*'SA Apr 2022'!N16/100,IF($C$5&gt;='SA Apr 2022'!P16,('SA Apr 2022'!P16*'SA Apr 2022'!N16/100),($C$5*'SA Apr 2022'!N16/100)))</f>
        <v>1759.9999999999998</v>
      </c>
      <c r="E22" s="46">
        <f>IF(AND('SA Apr 2022'!P16&gt;0,'SA Apr 2022'!R16&gt;0),IF($C$5&lt;'SA Apr 2022'!P16,0,IF($C$5&lt;=('SA Apr 2022'!R16+'SA Apr 2022'!P16),(($C$5-'SA Apr 2022'!P16)*'SA Apr 2022'!Q16/100),(('SA Apr 2022'!R16)*'SA Apr 2022'!Q16/100))),0)</f>
        <v>0</v>
      </c>
      <c r="F22" s="46">
        <f>IF(AND('SA Apr 2022'!Q16&gt;0,'SA Apr 2022'!S16&gt;0),IF($C$5&lt;('SA Apr 2022'!R16+'SA Apr 2022'!P16),0,IF($C$5&lt;=('SA Apr 2022'!T16+'SA Apr 2022'!R16+'SA Apr 2022'!P16),(($C$5-('SA Apr 2022'!R16+'SA Apr 2022'!P16))*'SA Apr 2022'!S16/100),('SA Apr 2022'!T16*'SA Apr 2022'!S16/100))),0)</f>
        <v>0</v>
      </c>
      <c r="G22" s="50">
        <v>0</v>
      </c>
      <c r="H22" s="46">
        <f>IF(AND('SA Apr 2022'!R16&gt;0,'SA Apr 2022'!T16&gt;0),IF(($C$5&lt;'SA Apr 2022'!T16),(0),($C$5-'SA Apr 2022'!T16)*'SA Apr 2022'!U16/100),IF(AND('SA Apr 2022'!R16&gt;0,'SA Apr 2022'!T16=""),IF(($C$5&lt;'SA Apr 2022'!R16+'SA Apr 2022'!P16),(0),(($C$5-('SA Apr 2022'!R16+'SA Apr 2022'!P16))*'SA Apr 2022'!S16/100)),IF(AND('SA Apr 2022'!P16&gt;0,'SA Apr 2022'!R16=""&gt;0),IF(($C$5&lt;'SA Apr 2022'!P16),(0),($C$5-'SA Apr 2022'!P16)*'SA Apr 2022'!Q16/100),0)))</f>
        <v>0</v>
      </c>
      <c r="I22" s="52">
        <f t="shared" si="10"/>
        <v>1824.6099999999997</v>
      </c>
      <c r="J22" s="111">
        <f t="shared" si="3"/>
        <v>7039.9999999999991</v>
      </c>
      <c r="K22" s="112">
        <f t="shared" si="0"/>
        <v>7298.4399999999987</v>
      </c>
      <c r="L22" s="53">
        <f t="shared" si="4"/>
        <v>8028.2839999999997</v>
      </c>
      <c r="M22" s="54">
        <f>'SA Apr 2022'!BB16</f>
        <v>0</v>
      </c>
      <c r="N22" s="54">
        <f>'SA Apr 2022'!BC16</f>
        <v>15</v>
      </c>
      <c r="O22" s="54">
        <f>'SA Apr 2022'!BD16</f>
        <v>0</v>
      </c>
      <c r="P22" s="54">
        <f>'SA Apr 2022'!BE16</f>
        <v>0</v>
      </c>
      <c r="Q22" s="110" t="str">
        <f t="shared" si="5"/>
        <v>Guaranteed off usage</v>
      </c>
      <c r="R22" s="73" t="str">
        <f t="shared" si="1"/>
        <v>Exclusive</v>
      </c>
      <c r="S22" s="111">
        <f t="shared" si="7"/>
        <v>6242.4399999999987</v>
      </c>
      <c r="T22" s="112">
        <f t="shared" si="8"/>
        <v>6242.4399999999987</v>
      </c>
      <c r="U22" s="97">
        <f t="shared" si="6"/>
        <v>6866.6839999999993</v>
      </c>
      <c r="V22" s="98">
        <f t="shared" si="6"/>
        <v>6866.6839999999993</v>
      </c>
      <c r="W22" s="55">
        <f>'SA Apr 2022'!BL16</f>
        <v>0</v>
      </c>
      <c r="X22" s="56">
        <f>'SA Apr 2022'!BM16</f>
        <v>0</v>
      </c>
      <c r="Y22" s="337"/>
      <c r="Z22" s="337"/>
      <c r="AA22" s="337"/>
      <c r="AB22" s="337"/>
      <c r="AC22" s="337"/>
      <c r="AD22" s="337"/>
      <c r="AE22" s="337"/>
      <c r="AF22" s="337"/>
      <c r="AG22" s="337"/>
      <c r="AH22" s="337"/>
      <c r="AI22" s="337"/>
      <c r="AJ22" s="337"/>
      <c r="AK22" s="337"/>
      <c r="AL22" s="337"/>
      <c r="AM22" s="337"/>
      <c r="AN22" s="337"/>
      <c r="AO22" s="337"/>
      <c r="AP22" s="337"/>
      <c r="AQ22" s="337"/>
      <c r="AR22" s="337"/>
    </row>
    <row r="23" spans="1:44" ht="14" x14ac:dyDescent="0.15">
      <c r="A23" s="70" t="str">
        <f>'SA Apr 2022'!K17</f>
        <v>ReAmped Energy</v>
      </c>
      <c r="B23" s="73" t="str">
        <f>'SA Apr 2022'!L17</f>
        <v>Business</v>
      </c>
      <c r="C23" s="46">
        <f>IF('SA Apr 2022'!BP17=0,91*'SA Apr 2022'!M17/100,(91*'SA Apr 2022'!M17/100)+'SA Apr 2022'!BP17/4)</f>
        <v>66.521000000000001</v>
      </c>
      <c r="D23" s="46">
        <f>IF('SA Apr 2022'!O17="",$C$5*'SA Apr 2022'!N17/100,IF($C$5&gt;='SA Apr 2022'!P17,('SA Apr 2022'!P17*'SA Apr 2022'!N17/100),($C$5*'SA Apr 2022'!N17/100)))</f>
        <v>1377.7272727272727</v>
      </c>
      <c r="E23" s="46">
        <f>IF(AND('SA Apr 2022'!P17&gt;0,'SA Apr 2022'!R17&gt;0),IF($C$5&lt;'SA Apr 2022'!P17,0,IF($C$5&lt;=('SA Apr 2022'!R17+'SA Apr 2022'!P17),(($C$5-'SA Apr 2022'!P17)*'SA Apr 2022'!Q17/100),(('SA Apr 2022'!R17)*'SA Apr 2022'!Q17/100))),0)</f>
        <v>0</v>
      </c>
      <c r="F23" s="46">
        <f>IF(AND('SA Apr 2022'!Q17&gt;0,'SA Apr 2022'!S17&gt;0),IF($C$5&lt;('SA Apr 2022'!R17+'SA Apr 2022'!P17),0,IF($C$5&lt;=('SA Apr 2022'!T17+'SA Apr 2022'!R17+'SA Apr 2022'!P17),(($C$5-('SA Apr 2022'!R17+'SA Apr 2022'!P17))*'SA Apr 2022'!S17/100),('SA Apr 2022'!T17*'SA Apr 2022'!S17/100))),0)</f>
        <v>0</v>
      </c>
      <c r="G23" s="50">
        <v>0</v>
      </c>
      <c r="H23" s="46">
        <f>IF(AND('SA Apr 2022'!R17&gt;0,'SA Apr 2022'!T17&gt;0),IF(($C$5&lt;'SA Apr 2022'!T17),(0),($C$5-'SA Apr 2022'!T17)*'SA Apr 2022'!U17/100),IF(AND('SA Apr 2022'!R17&gt;0,'SA Apr 2022'!T17=""),IF(($C$5&lt;'SA Apr 2022'!R17+'SA Apr 2022'!P17),(0),(($C$5-('SA Apr 2022'!R17+'SA Apr 2022'!P17))*'SA Apr 2022'!S17/100)),IF(AND('SA Apr 2022'!P17&gt;0,'SA Apr 2022'!R17=""&gt;0),IF(($C$5&lt;'SA Apr 2022'!P17),(0),($C$5-'SA Apr 2022'!P17)*'SA Apr 2022'!Q17/100),0)))</f>
        <v>0</v>
      </c>
      <c r="I23" s="52">
        <f t="shared" ref="I23" si="11">SUM(C23:H23)</f>
        <v>1444.2482727272727</v>
      </c>
      <c r="J23" s="111">
        <f t="shared" si="3"/>
        <v>5510.909090909091</v>
      </c>
      <c r="K23" s="112">
        <f t="shared" si="0"/>
        <v>5776.9930909090908</v>
      </c>
      <c r="L23" s="53">
        <f t="shared" si="4"/>
        <v>6354.6924000000008</v>
      </c>
      <c r="M23" s="54">
        <f>'SA Apr 2022'!BB17</f>
        <v>0</v>
      </c>
      <c r="N23" s="54">
        <f>'SA Apr 2022'!BC17</f>
        <v>0</v>
      </c>
      <c r="O23" s="54">
        <f>'SA Apr 2022'!BD17</f>
        <v>0</v>
      </c>
      <c r="P23" s="54">
        <f>'SA Apr 2022'!BE17</f>
        <v>0</v>
      </c>
      <c r="Q23" s="110" t="str">
        <f t="shared" si="5"/>
        <v>No discount</v>
      </c>
      <c r="R23" s="73" t="str">
        <f t="shared" si="1"/>
        <v>Exclusive</v>
      </c>
      <c r="S23" s="111">
        <f t="shared" si="7"/>
        <v>5776.9930909090908</v>
      </c>
      <c r="T23" s="112">
        <f t="shared" si="8"/>
        <v>5776.9930909090908</v>
      </c>
      <c r="U23" s="97">
        <f t="shared" si="6"/>
        <v>6354.6924000000008</v>
      </c>
      <c r="V23" s="98">
        <f t="shared" si="6"/>
        <v>6354.6924000000008</v>
      </c>
      <c r="W23" s="55">
        <f>'SA Apr 2022'!BL17</f>
        <v>0</v>
      </c>
      <c r="X23" s="56">
        <f>'SA Apr 2022'!BM17</f>
        <v>0</v>
      </c>
      <c r="Y23" s="337"/>
      <c r="Z23" s="337"/>
      <c r="AA23" s="337"/>
      <c r="AB23" s="337"/>
      <c r="AC23" s="337"/>
      <c r="AD23" s="337"/>
      <c r="AE23" s="337"/>
      <c r="AF23" s="337"/>
      <c r="AG23" s="337"/>
      <c r="AH23" s="337"/>
      <c r="AI23" s="337"/>
      <c r="AJ23" s="337"/>
      <c r="AK23" s="337"/>
      <c r="AL23" s="337"/>
      <c r="AM23" s="337"/>
      <c r="AN23" s="337"/>
      <c r="AO23" s="337"/>
      <c r="AP23" s="337"/>
      <c r="AQ23" s="337"/>
      <c r="AR23" s="337"/>
    </row>
    <row r="24" spans="1:44" ht="14" x14ac:dyDescent="0.15">
      <c r="A24" s="70" t="str">
        <f>'SA Apr 2022'!K18</f>
        <v>CovaU</v>
      </c>
      <c r="B24" s="73" t="str">
        <f>'SA Apr 2022'!L18</f>
        <v>Freedom</v>
      </c>
      <c r="C24" s="46">
        <f>IF('SA Apr 2022'!BP18=0,91*'SA Apr 2022'!M18/100,(91*'SA Apr 2022'!M18/100)+'SA Apr 2022'!BP18/4)</f>
        <v>68.25</v>
      </c>
      <c r="D24" s="46">
        <f>IF('SA Apr 2022'!O18="",$C$5*'SA Apr 2022'!N18/100,IF($C$5&gt;='SA Apr 2022'!P18,('SA Apr 2022'!P18*'SA Apr 2022'!N18/100),($C$5*'SA Apr 2022'!N18/100)))</f>
        <v>1544.0909090909088</v>
      </c>
      <c r="E24" s="46">
        <f>IF(AND('SA Apr 2022'!P18&gt;0,'SA Apr 2022'!R18&gt;0),IF($C$5&lt;'SA Apr 2022'!P18,0,IF($C$5&lt;=('SA Apr 2022'!R18+'SA Apr 2022'!P18),(($C$5-'SA Apr 2022'!P18)*'SA Apr 2022'!Q18/100),(('SA Apr 2022'!R18)*'SA Apr 2022'!Q18/100))),0)</f>
        <v>0</v>
      </c>
      <c r="F24" s="46">
        <f>IF(AND('SA Apr 2022'!Q18&gt;0,'SA Apr 2022'!S18&gt;0),IF($C$5&lt;('SA Apr 2022'!R18+'SA Apr 2022'!P18),0,IF($C$5&lt;=('SA Apr 2022'!T18+'SA Apr 2022'!R18+'SA Apr 2022'!P18),(($C$5-('SA Apr 2022'!R18+'SA Apr 2022'!P18))*'SA Apr 2022'!S18/100),('SA Apr 2022'!T18*'SA Apr 2022'!S18/100))),0)</f>
        <v>0</v>
      </c>
      <c r="G24" s="50">
        <v>0</v>
      </c>
      <c r="H24" s="46">
        <f>IF(AND('SA Apr 2022'!R18&gt;0,'SA Apr 2022'!T18&gt;0),IF(($C$5&lt;'SA Apr 2022'!T18),(0),($C$5-'SA Apr 2022'!T18)*'SA Apr 2022'!U18/100),IF(AND('SA Apr 2022'!R18&gt;0,'SA Apr 2022'!T18=""),IF(($C$5&lt;'SA Apr 2022'!R18+'SA Apr 2022'!P18),(0),(($C$5-('SA Apr 2022'!R18+'SA Apr 2022'!P18))*'SA Apr 2022'!S18/100)),IF(AND('SA Apr 2022'!P18&gt;0,'SA Apr 2022'!R18=""&gt;0),IF(($C$5&lt;'SA Apr 2022'!P18),(0),($C$5-'SA Apr 2022'!P18)*'SA Apr 2022'!Q18/100),0)))</f>
        <v>0</v>
      </c>
      <c r="I24" s="52">
        <f t="shared" ref="I24" si="12">SUM(C24:H24)</f>
        <v>1612.3409090909088</v>
      </c>
      <c r="J24" s="111">
        <f t="shared" si="3"/>
        <v>6176.3636363636351</v>
      </c>
      <c r="K24" s="112">
        <f t="shared" si="0"/>
        <v>6449.3636363636351</v>
      </c>
      <c r="L24" s="53">
        <f t="shared" si="4"/>
        <v>7094.2999999999993</v>
      </c>
      <c r="M24" s="54">
        <f>'SA Apr 2022'!BB18</f>
        <v>0</v>
      </c>
      <c r="N24" s="54">
        <f>'SA Apr 2022'!BC18</f>
        <v>5</v>
      </c>
      <c r="O24" s="54">
        <f>'SA Apr 2022'!BD18</f>
        <v>0</v>
      </c>
      <c r="P24" s="54">
        <f>'SA Apr 2022'!BE18</f>
        <v>0</v>
      </c>
      <c r="Q24" s="110" t="str">
        <f t="shared" si="5"/>
        <v>Guaranteed off usage</v>
      </c>
      <c r="R24" s="73" t="str">
        <f t="shared" si="1"/>
        <v>Exclusive</v>
      </c>
      <c r="S24" s="111">
        <f t="shared" si="7"/>
        <v>6140.5454545454531</v>
      </c>
      <c r="T24" s="112">
        <f t="shared" si="8"/>
        <v>6140.5454545454531</v>
      </c>
      <c r="U24" s="97">
        <f t="shared" si="6"/>
        <v>6754.5999999999985</v>
      </c>
      <c r="V24" s="98">
        <f t="shared" si="6"/>
        <v>6754.5999999999985</v>
      </c>
      <c r="W24" s="55">
        <f>'SA Apr 2022'!BL18</f>
        <v>0</v>
      </c>
      <c r="X24" s="56">
        <f>'SA Apr 2022'!BM18</f>
        <v>0</v>
      </c>
      <c r="Y24" s="337"/>
      <c r="Z24" s="337"/>
      <c r="AA24" s="337"/>
      <c r="AB24" s="337"/>
      <c r="AC24" s="337"/>
      <c r="AD24" s="337"/>
      <c r="AE24" s="337"/>
      <c r="AF24" s="337"/>
      <c r="AG24" s="337"/>
      <c r="AH24" s="337"/>
      <c r="AI24" s="337"/>
      <c r="AJ24" s="337"/>
      <c r="AK24" s="337"/>
      <c r="AL24" s="337"/>
      <c r="AM24" s="337"/>
      <c r="AN24" s="337"/>
      <c r="AO24" s="337"/>
      <c r="AP24" s="337"/>
      <c r="AQ24" s="337"/>
      <c r="AR24" s="337"/>
    </row>
    <row r="25" spans="1:44" ht="14" x14ac:dyDescent="0.15">
      <c r="A25" s="70" t="str">
        <f>'SA Apr 2022'!K19</f>
        <v>1st Energy</v>
      </c>
      <c r="B25" s="73" t="str">
        <f>'SA Apr 2022'!L19</f>
        <v>1st Saver Plus</v>
      </c>
      <c r="C25" s="46">
        <f>IF('SA Apr 2022'!BP19=0,91*'SA Apr 2022'!M19/100,(91*'SA Apr 2022'!M19/100)+'SA Apr 2022'!BP19/4)</f>
        <v>80.038636363636357</v>
      </c>
      <c r="D25" s="46">
        <f>IF('SA Apr 2022'!O19="",$C$5*'SA Apr 2022'!N19/100,IF($C$5&gt;='SA Apr 2022'!P19,('SA Apr 2022'!P19*'SA Apr 2022'!N19/100),($C$5*'SA Apr 2022'!N19/100)))</f>
        <v>1744.0909090909088</v>
      </c>
      <c r="E25" s="46">
        <f>IF(AND('SA Apr 2022'!P19&gt;0,'SA Apr 2022'!R19&gt;0),IF($C$5&lt;'SA Apr 2022'!P19,0,IF($C$5&lt;=('SA Apr 2022'!R19+'SA Apr 2022'!P19),(($C$5-'SA Apr 2022'!P19)*'SA Apr 2022'!Q19/100),(('SA Apr 2022'!R19)*'SA Apr 2022'!Q19/100))),0)</f>
        <v>0</v>
      </c>
      <c r="F25" s="46">
        <f>IF(AND('SA Apr 2022'!Q19&gt;0,'SA Apr 2022'!S19&gt;0),IF($C$5&lt;('SA Apr 2022'!R19+'SA Apr 2022'!P19),0,IF($C$5&lt;=('SA Apr 2022'!T19+'SA Apr 2022'!R19+'SA Apr 2022'!P19),(($C$5-('SA Apr 2022'!R19+'SA Apr 2022'!P19))*'SA Apr 2022'!S19/100),('SA Apr 2022'!T19*'SA Apr 2022'!S19/100))),0)</f>
        <v>0</v>
      </c>
      <c r="G25" s="50">
        <v>0</v>
      </c>
      <c r="H25" s="46">
        <f>IF(AND('SA Apr 2022'!R19&gt;0,'SA Apr 2022'!T19&gt;0),IF(($C$5&lt;'SA Apr 2022'!T19),(0),($C$5-'SA Apr 2022'!T19)*'SA Apr 2022'!U19/100),IF(AND('SA Apr 2022'!R19&gt;0,'SA Apr 2022'!T19=""),IF(($C$5&lt;'SA Apr 2022'!R19+'SA Apr 2022'!P19),(0),(($C$5-('SA Apr 2022'!R19+'SA Apr 2022'!P19))*'SA Apr 2022'!S19/100)),IF(AND('SA Apr 2022'!P19&gt;0,'SA Apr 2022'!R19=""&gt;0),IF(($C$5&lt;'SA Apr 2022'!P19),(0),($C$5-'SA Apr 2022'!P19)*'SA Apr 2022'!Q19/100),0)))</f>
        <v>0</v>
      </c>
      <c r="I25" s="52">
        <f t="shared" ref="I25:I26" si="13">SUM(C25:H25)</f>
        <v>1824.1295454545452</v>
      </c>
      <c r="J25" s="111">
        <f t="shared" si="3"/>
        <v>6976.3636363636351</v>
      </c>
      <c r="K25" s="112">
        <f t="shared" si="0"/>
        <v>7296.5181818181809</v>
      </c>
      <c r="L25" s="53">
        <f t="shared" si="4"/>
        <v>8026.17</v>
      </c>
      <c r="M25" s="54">
        <f>'SA Apr 2022'!BB19</f>
        <v>4</v>
      </c>
      <c r="N25" s="54">
        <f>'SA Apr 2022'!BC19</f>
        <v>0</v>
      </c>
      <c r="O25" s="54">
        <f>'SA Apr 2022'!BD19</f>
        <v>10</v>
      </c>
      <c r="P25" s="54">
        <f>'SA Apr 2022'!BE19</f>
        <v>0</v>
      </c>
      <c r="Q25" s="110" t="str">
        <f t="shared" si="5"/>
        <v>Guaranteed off bill</v>
      </c>
      <c r="R25" s="73" t="str">
        <f t="shared" si="1"/>
        <v>Exclusive</v>
      </c>
      <c r="S25" s="111">
        <f t="shared" si="7"/>
        <v>7004.6574545454532</v>
      </c>
      <c r="T25" s="112">
        <f>S25-(S25*O25/100)</f>
        <v>6304.1917090909083</v>
      </c>
      <c r="U25" s="97">
        <f t="shared" ref="U25:V28" si="14">S25*1.1</f>
        <v>7705.1231999999991</v>
      </c>
      <c r="V25" s="98">
        <f t="shared" si="6"/>
        <v>6934.6108799999993</v>
      </c>
      <c r="W25" s="55">
        <f>'SA Apr 2022'!BL19</f>
        <v>0</v>
      </c>
      <c r="X25" s="56">
        <f>'SA Apr 2022'!BM19</f>
        <v>0</v>
      </c>
      <c r="Y25" s="337"/>
      <c r="Z25" s="337"/>
      <c r="AA25" s="337"/>
      <c r="AB25" s="337"/>
      <c r="AC25" s="337"/>
      <c r="AD25" s="337"/>
      <c r="AE25" s="337"/>
      <c r="AF25" s="337"/>
      <c r="AG25" s="337"/>
      <c r="AH25" s="337"/>
      <c r="AI25" s="337"/>
      <c r="AJ25" s="337"/>
      <c r="AK25" s="337"/>
      <c r="AL25" s="337"/>
      <c r="AM25" s="337"/>
      <c r="AN25" s="337"/>
      <c r="AO25" s="337"/>
      <c r="AP25" s="337"/>
      <c r="AQ25" s="337"/>
      <c r="AR25" s="337"/>
    </row>
    <row r="26" spans="1:44" ht="14" x14ac:dyDescent="0.15">
      <c r="A26" s="70" t="str">
        <f>'SA Apr 2022'!K20</f>
        <v>GlowPower</v>
      </c>
      <c r="B26" s="73" t="str">
        <f>'SA Apr 2022'!L20</f>
        <v>Everyday Saver</v>
      </c>
      <c r="C26" s="46">
        <f>IF('SA Apr 2022'!BP20=0,91*'SA Apr 2022'!M20/100,(91*'SA Apr 2022'!M20/100)+'SA Apr 2022'!BP20/4)</f>
        <v>81.899999999999991</v>
      </c>
      <c r="D26" s="46">
        <f>IF('SA Apr 2022'!O20="",$C$5*'SA Apr 2022'!N20/100,IF($C$5&gt;='SA Apr 2022'!P20,('SA Apr 2022'!P20*'SA Apr 2022'!N20/100),($C$5*'SA Apr 2022'!N20/100)))</f>
        <v>1318.181818181818</v>
      </c>
      <c r="E26" s="46">
        <f>IF(AND('SA Apr 2022'!P20&gt;0,'SA Apr 2022'!R20&gt;0),IF($C$5&lt;'SA Apr 2022'!P20,0,IF($C$5&lt;=('SA Apr 2022'!R20+'SA Apr 2022'!P20),(($C$5-'SA Apr 2022'!P20)*'SA Apr 2022'!Q20/100),(('SA Apr 2022'!R20)*'SA Apr 2022'!Q20/100))),0)</f>
        <v>0</v>
      </c>
      <c r="F26" s="46">
        <f>IF(AND('SA Apr 2022'!Q20&gt;0,'SA Apr 2022'!S20&gt;0),IF($C$5&lt;('SA Apr 2022'!R20+'SA Apr 2022'!P20),0,IF($C$5&lt;=('SA Apr 2022'!T20+'SA Apr 2022'!R20+'SA Apr 2022'!P20),(($C$5-('SA Apr 2022'!R20+'SA Apr 2022'!P20))*'SA Apr 2022'!S20/100),('SA Apr 2022'!T20*'SA Apr 2022'!S20/100))),0)</f>
        <v>0</v>
      </c>
      <c r="G26" s="50">
        <v>0</v>
      </c>
      <c r="H26" s="46">
        <f>IF(AND('SA Apr 2022'!R20&gt;0,'SA Apr 2022'!T20&gt;0),IF(($C$5&lt;'SA Apr 2022'!T20),(0),($C$5-'SA Apr 2022'!T20)*'SA Apr 2022'!U20/100),IF(AND('SA Apr 2022'!R20&gt;0,'SA Apr 2022'!T20=""),IF(($C$5&lt;'SA Apr 2022'!R20+'SA Apr 2022'!P20),(0),(($C$5-('SA Apr 2022'!R20+'SA Apr 2022'!P20))*'SA Apr 2022'!S20/100)),IF(AND('SA Apr 2022'!P20&gt;0,'SA Apr 2022'!R20=""&gt;0),IF(($C$5&lt;'SA Apr 2022'!P20),(0),($C$5-'SA Apr 2022'!P20)*'SA Apr 2022'!Q20/100),0)))</f>
        <v>0</v>
      </c>
      <c r="I26" s="52">
        <f t="shared" si="13"/>
        <v>1400.0818181818181</v>
      </c>
      <c r="J26" s="111">
        <f t="shared" si="3"/>
        <v>5272.7272727272721</v>
      </c>
      <c r="K26" s="112">
        <f t="shared" si="0"/>
        <v>5600.3272727272724</v>
      </c>
      <c r="L26" s="53">
        <f t="shared" si="4"/>
        <v>6160.3600000000006</v>
      </c>
      <c r="M26" s="54">
        <f>'SA Apr 2022'!BB20</f>
        <v>0</v>
      </c>
      <c r="N26" s="54">
        <f>'SA Apr 2022'!BC20</f>
        <v>0</v>
      </c>
      <c r="O26" s="54">
        <f>'SA Apr 2022'!BD20</f>
        <v>0</v>
      </c>
      <c r="P26" s="54">
        <f>'SA Apr 2022'!BE20</f>
        <v>0</v>
      </c>
      <c r="Q26" s="110" t="str">
        <f t="shared" si="5"/>
        <v>No discount</v>
      </c>
      <c r="R26" s="73" t="str">
        <f t="shared" si="1"/>
        <v>Exclusive</v>
      </c>
      <c r="S26" s="111">
        <f t="shared" si="7"/>
        <v>5600.3272727272724</v>
      </c>
      <c r="T26" s="112">
        <f>S26-(S26*O26/100)</f>
        <v>5600.3272727272724</v>
      </c>
      <c r="U26" s="97">
        <f t="shared" si="14"/>
        <v>6160.3600000000006</v>
      </c>
      <c r="V26" s="98">
        <f t="shared" si="14"/>
        <v>6160.3600000000006</v>
      </c>
      <c r="W26" s="55">
        <f>'SA Apr 2022'!BL20</f>
        <v>0</v>
      </c>
      <c r="X26" s="56">
        <f>'SA Apr 2022'!BM20</f>
        <v>0</v>
      </c>
      <c r="Y26" s="337"/>
      <c r="Z26" s="337"/>
      <c r="AA26" s="337"/>
      <c r="AB26" s="337"/>
      <c r="AC26" s="337"/>
      <c r="AD26" s="337"/>
      <c r="AE26" s="337"/>
      <c r="AF26" s="337"/>
      <c r="AG26" s="337"/>
      <c r="AH26" s="337"/>
      <c r="AI26" s="337"/>
      <c r="AJ26" s="337"/>
      <c r="AK26" s="337"/>
      <c r="AL26" s="337"/>
      <c r="AM26" s="337"/>
      <c r="AN26" s="337"/>
      <c r="AO26" s="337"/>
      <c r="AP26" s="337"/>
      <c r="AQ26" s="337"/>
      <c r="AR26" s="337"/>
    </row>
    <row r="27" spans="1:44" ht="14" x14ac:dyDescent="0.15">
      <c r="A27" s="70" t="str">
        <f>'SA Apr 2022'!K21</f>
        <v>Sumo Power</v>
      </c>
      <c r="B27" s="73" t="str">
        <f>'SA Apr 2022'!L21</f>
        <v>Freedom Business</v>
      </c>
      <c r="C27" s="46">
        <f>IF('SA Apr 2022'!BP21=0,91*'SA Apr 2022'!M21/100,(91*'SA Apr 2022'!M21/100)+'SA Apr 2022'!BP21/4)</f>
        <v>72.8</v>
      </c>
      <c r="D27" s="46">
        <f>IF('SA Apr 2022'!O21="",$C$5*'SA Apr 2022'!N21/100,IF($C$5&gt;='SA Apr 2022'!P21,('SA Apr 2022'!P21*'SA Apr 2022'!N21/100),($C$5*'SA Apr 2022'!N21/100)))</f>
        <v>1464.9999999999998</v>
      </c>
      <c r="E27" s="46">
        <f>IF(AND('SA Apr 2022'!P21&gt;0,'SA Apr 2022'!R21&gt;0),IF($C$5&lt;'SA Apr 2022'!P21,0,IF($C$5&lt;=('SA Apr 2022'!R21+'SA Apr 2022'!P21),(($C$5-'SA Apr 2022'!P21)*'SA Apr 2022'!Q21/100),(('SA Apr 2022'!R21)*'SA Apr 2022'!Q21/100))),0)</f>
        <v>0</v>
      </c>
      <c r="F27" s="46">
        <f>IF(AND('SA Apr 2022'!Q21&gt;0,'SA Apr 2022'!S21&gt;0),IF($C$5&lt;('SA Apr 2022'!R21+'SA Apr 2022'!P21),0,IF($C$5&lt;=('SA Apr 2022'!T21+'SA Apr 2022'!R21+'SA Apr 2022'!P21),(($C$5-('SA Apr 2022'!R21+'SA Apr 2022'!P21))*'SA Apr 2022'!S21/100),('SA Apr 2022'!T21*'SA Apr 2022'!S21/100))),0)</f>
        <v>0</v>
      </c>
      <c r="G27" s="50">
        <v>0</v>
      </c>
      <c r="H27" s="46">
        <f>IF(AND('SA Apr 2022'!R21&gt;0,'SA Apr 2022'!T21&gt;0),IF(($C$5&lt;'SA Apr 2022'!T21),(0),($C$5-'SA Apr 2022'!T21)*'SA Apr 2022'!U21/100),IF(AND('SA Apr 2022'!R21&gt;0,'SA Apr 2022'!T21=""),IF(($C$5&lt;'SA Apr 2022'!R21+'SA Apr 2022'!P21),(0),(($C$5-('SA Apr 2022'!R21+'SA Apr 2022'!P21))*'SA Apr 2022'!S21/100)),IF(AND('SA Apr 2022'!P21&gt;0,'SA Apr 2022'!R21=""&gt;0),IF(($C$5&lt;'SA Apr 2022'!P21),(0),($C$5-'SA Apr 2022'!P21)*'SA Apr 2022'!Q21/100),0)))</f>
        <v>0</v>
      </c>
      <c r="I27" s="52">
        <f t="shared" ref="I27:I28" si="15">SUM(C27:H27)</f>
        <v>1537.7999999999997</v>
      </c>
      <c r="J27" s="111">
        <f t="shared" si="3"/>
        <v>5859.9999999999991</v>
      </c>
      <c r="K27" s="112">
        <f t="shared" si="0"/>
        <v>6151.1999999999989</v>
      </c>
      <c r="L27" s="53">
        <f t="shared" si="4"/>
        <v>6766.32</v>
      </c>
      <c r="M27" s="54">
        <f>'SA Apr 2022'!BB21</f>
        <v>0</v>
      </c>
      <c r="N27" s="54">
        <f>'SA Apr 2022'!BC21</f>
        <v>0</v>
      </c>
      <c r="O27" s="54">
        <f>'SA Apr 2022'!BD21</f>
        <v>0</v>
      </c>
      <c r="P27" s="54">
        <f>'SA Apr 2022'!BE21</f>
        <v>0</v>
      </c>
      <c r="Q27" s="110" t="str">
        <f t="shared" si="5"/>
        <v>No discount</v>
      </c>
      <c r="R27" s="73" t="str">
        <f t="shared" si="1"/>
        <v>Exclusive</v>
      </c>
      <c r="S27" s="111">
        <f t="shared" si="7"/>
        <v>6151.1999999999989</v>
      </c>
      <c r="T27" s="112">
        <f t="shared" ref="T27:T28" si="16">S27-(S27*O27/100)</f>
        <v>6151.1999999999989</v>
      </c>
      <c r="U27" s="97">
        <f t="shared" si="14"/>
        <v>6766.32</v>
      </c>
      <c r="V27" s="98">
        <f t="shared" si="14"/>
        <v>6766.32</v>
      </c>
      <c r="W27" s="55">
        <f>'SA Apr 2022'!BL21</f>
        <v>0</v>
      </c>
      <c r="X27" s="56">
        <f>'SA Apr 2022'!BM21</f>
        <v>0</v>
      </c>
      <c r="Y27" s="337"/>
      <c r="Z27" s="337"/>
      <c r="AA27" s="337"/>
      <c r="AB27" s="337"/>
      <c r="AC27" s="337"/>
      <c r="AD27" s="337"/>
      <c r="AE27" s="337"/>
      <c r="AF27" s="337"/>
      <c r="AG27" s="337"/>
      <c r="AH27" s="337"/>
      <c r="AI27" s="337"/>
      <c r="AJ27" s="337"/>
      <c r="AK27" s="337"/>
      <c r="AL27" s="337"/>
      <c r="AM27" s="337"/>
      <c r="AN27" s="337"/>
      <c r="AO27" s="337"/>
      <c r="AP27" s="337"/>
      <c r="AQ27" s="337"/>
      <c r="AR27" s="337"/>
    </row>
    <row r="28" spans="1:44" ht="14" x14ac:dyDescent="0.15">
      <c r="A28" s="70" t="str">
        <f>'SA Apr 2022'!K22</f>
        <v>Amber Electric</v>
      </c>
      <c r="B28" s="73" t="str">
        <f>'SA Apr 2022'!L22</f>
        <v>Small Business</v>
      </c>
      <c r="C28" s="46">
        <f>IF('SA Apr 2022'!BP22=0,91*'SA Apr 2022'!M22/100,(91*'SA Apr 2022'!M22/100)+'SA Apr 2022'!BP22/4)</f>
        <v>130.47790909090907</v>
      </c>
      <c r="D28" s="46">
        <f>IF('SA Apr 2022'!O22="",$C$5*'SA Apr 2022'!N22/100,IF($C$5&gt;='SA Apr 2022'!P22,('SA Apr 2022'!P22*'SA Apr 2022'!N22/100),($C$5*'SA Apr 2022'!N22/100)))</f>
        <v>1695</v>
      </c>
      <c r="E28" s="46">
        <f>IF(AND('SA Apr 2022'!P22&gt;0,'SA Apr 2022'!R22&gt;0),IF($C$5&lt;'SA Apr 2022'!P22,0,IF($C$5&lt;=('SA Apr 2022'!R22+'SA Apr 2022'!P22),(($C$5-'SA Apr 2022'!P22)*'SA Apr 2022'!Q22/100),(('SA Apr 2022'!R22)*'SA Apr 2022'!Q22/100))),0)</f>
        <v>0</v>
      </c>
      <c r="F28" s="46">
        <f>IF(AND('SA Apr 2022'!Q22&gt;0,'SA Apr 2022'!S22&gt;0),IF($C$5&lt;('SA Apr 2022'!R22+'SA Apr 2022'!P22),0,IF($C$5&lt;=('SA Apr 2022'!T22+'SA Apr 2022'!R22+'SA Apr 2022'!P22),(($C$5-('SA Apr 2022'!R22+'SA Apr 2022'!P22))*'SA Apr 2022'!S22/100),('SA Apr 2022'!T22*'SA Apr 2022'!S22/100))),0)</f>
        <v>0</v>
      </c>
      <c r="G28" s="50">
        <v>0</v>
      </c>
      <c r="H28" s="46">
        <f>IF(AND('SA Apr 2022'!R22&gt;0,'SA Apr 2022'!T22&gt;0),IF(($C$5&lt;'SA Apr 2022'!T22),(0),($C$5-'SA Apr 2022'!T22)*'SA Apr 2022'!U22/100),IF(AND('SA Apr 2022'!R22&gt;0,'SA Apr 2022'!T22=""),IF(($C$5&lt;'SA Apr 2022'!R22+'SA Apr 2022'!P22),(0),(($C$5-('SA Apr 2022'!R22+'SA Apr 2022'!P22))*'SA Apr 2022'!S22/100)),IF(AND('SA Apr 2022'!P22&gt;0,'SA Apr 2022'!R22=""&gt;0),IF(($C$5&lt;'SA Apr 2022'!P22),(0),($C$5-'SA Apr 2022'!P22)*'SA Apr 2022'!Q22/100),0)))</f>
        <v>0</v>
      </c>
      <c r="I28" s="52">
        <f t="shared" si="15"/>
        <v>1825.4779090909092</v>
      </c>
      <c r="J28" s="111">
        <f t="shared" si="3"/>
        <v>6780</v>
      </c>
      <c r="K28" s="112">
        <f t="shared" si="0"/>
        <v>7301.9116363636367</v>
      </c>
      <c r="L28" s="53">
        <f t="shared" si="4"/>
        <v>8032.1028000000015</v>
      </c>
      <c r="M28" s="54">
        <f>'SA Apr 2022'!BB22</f>
        <v>0</v>
      </c>
      <c r="N28" s="54">
        <f>'SA Apr 2022'!BC22</f>
        <v>0</v>
      </c>
      <c r="O28" s="54">
        <f>'SA Apr 2022'!BD22</f>
        <v>0</v>
      </c>
      <c r="P28" s="54">
        <f>'SA Apr 2022'!BE22</f>
        <v>0</v>
      </c>
      <c r="Q28" s="110" t="str">
        <f t="shared" si="5"/>
        <v>No discount</v>
      </c>
      <c r="R28" s="73" t="str">
        <f t="shared" si="1"/>
        <v>Exclusive</v>
      </c>
      <c r="S28" s="111">
        <f t="shared" si="7"/>
        <v>7301.9116363636367</v>
      </c>
      <c r="T28" s="112">
        <f t="shared" si="16"/>
        <v>7301.9116363636367</v>
      </c>
      <c r="U28" s="97">
        <f t="shared" si="14"/>
        <v>8032.1028000000015</v>
      </c>
      <c r="V28" s="98">
        <f t="shared" si="14"/>
        <v>8032.1028000000015</v>
      </c>
      <c r="W28" s="55">
        <f>'SA Apr 2022'!BL22</f>
        <v>0</v>
      </c>
      <c r="X28" s="56">
        <f>'SA Apr 2022'!BM22</f>
        <v>0</v>
      </c>
      <c r="Y28" s="337"/>
      <c r="Z28" s="337"/>
      <c r="AA28" s="337"/>
      <c r="AB28" s="337"/>
      <c r="AC28" s="337"/>
      <c r="AD28" s="337"/>
      <c r="AE28" s="337"/>
      <c r="AF28" s="337"/>
      <c r="AG28" s="337"/>
      <c r="AH28" s="337"/>
      <c r="AI28" s="337"/>
      <c r="AJ28" s="337"/>
      <c r="AK28" s="337"/>
      <c r="AL28" s="337"/>
      <c r="AM28" s="337"/>
      <c r="AN28" s="337"/>
      <c r="AO28" s="337"/>
      <c r="AP28" s="337"/>
      <c r="AQ28" s="337"/>
      <c r="AR28" s="337"/>
    </row>
    <row r="29" spans="1:44" ht="14" x14ac:dyDescent="0.15">
      <c r="A29" s="70" t="str">
        <f>'SA Apr 2022'!K23</f>
        <v>Circular Energy</v>
      </c>
      <c r="B29" s="73" t="str">
        <f>'SA Apr 2022'!L23</f>
        <v>Community Energy Business</v>
      </c>
      <c r="C29" s="46">
        <f>IF('SA Apr 2022'!BP23=0,91*'SA Apr 2022'!M23/100,(91*'SA Apr 2022'!M23/100)+'SA Apr 2022'!BP23/4)</f>
        <v>122.49190909090908</v>
      </c>
      <c r="D29" s="46">
        <f>IF('SA Apr 2022'!O23="",$C$5*'SA Apr 2022'!N23/100,IF($C$5&gt;='SA Apr 2022'!P23,('SA Apr 2022'!P23*'SA Apr 2022'!N23/100),($C$5*'SA Apr 2022'!N23/100)))</f>
        <v>1496.8181818181818</v>
      </c>
      <c r="E29" s="46">
        <f>IF(AND('SA Apr 2022'!P23&gt;0,'SA Apr 2022'!R23&gt;0),IF($C$5&lt;'SA Apr 2022'!P23,0,IF($C$5&lt;=('SA Apr 2022'!R23+'SA Apr 2022'!P23),(($C$5-'SA Apr 2022'!P23)*'SA Apr 2022'!Q23/100),(('SA Apr 2022'!R23)*'SA Apr 2022'!Q23/100))),0)</f>
        <v>0</v>
      </c>
      <c r="F29" s="46">
        <f>IF(AND('SA Apr 2022'!Q23&gt;0,'SA Apr 2022'!S23&gt;0),IF($C$5&lt;('SA Apr 2022'!R23+'SA Apr 2022'!P23),0,IF($C$5&lt;=('SA Apr 2022'!T23+'SA Apr 2022'!R23+'SA Apr 2022'!P23),(($C$5-('SA Apr 2022'!R23+'SA Apr 2022'!P23))*'SA Apr 2022'!S23/100),('SA Apr 2022'!T23*'SA Apr 2022'!S23/100))),0)</f>
        <v>0</v>
      </c>
      <c r="G29" s="50">
        <v>1</v>
      </c>
      <c r="H29" s="46">
        <f>IF(AND('SA Apr 2022'!R23&gt;0,'SA Apr 2022'!T23&gt;0),IF(($C$5&lt;'SA Apr 2022'!T23),(0),($C$5-'SA Apr 2022'!T23)*'SA Apr 2022'!U23/100),IF(AND('SA Apr 2022'!R23&gt;0,'SA Apr 2022'!T23=""),IF(($C$5&lt;'SA Apr 2022'!R23+'SA Apr 2022'!P23),(0),(($C$5-('SA Apr 2022'!R23+'SA Apr 2022'!P23))*'SA Apr 2022'!S23/100)),IF(AND('SA Apr 2022'!P23&gt;0,'SA Apr 2022'!R23=""&gt;0),IF(($C$5&lt;'SA Apr 2022'!P23),(0),($C$5-'SA Apr 2022'!P23)*'SA Apr 2022'!Q23/100),0)))</f>
        <v>0</v>
      </c>
      <c r="I29" s="52">
        <f t="shared" ref="I29:I30" si="17">SUM(C29:H29)</f>
        <v>1620.3100909090908</v>
      </c>
      <c r="J29" s="111">
        <f t="shared" ref="J29:J30" si="18">(I29-C29)*4</f>
        <v>5991.272727272727</v>
      </c>
      <c r="K29" s="112">
        <f t="shared" ref="K29:K30" si="19">I29*4</f>
        <v>6481.2403636363633</v>
      </c>
      <c r="L29" s="53">
        <f t="shared" ref="L29:L30" si="20">K29*1.1</f>
        <v>7129.3644000000004</v>
      </c>
      <c r="M29" s="54">
        <f>'SA Apr 2022'!BB23</f>
        <v>0</v>
      </c>
      <c r="N29" s="54">
        <f>'SA Apr 2022'!BC23</f>
        <v>0</v>
      </c>
      <c r="O29" s="54">
        <f>'SA Apr 2022'!BD23</f>
        <v>0</v>
      </c>
      <c r="P29" s="54">
        <f>'SA Apr 2022'!BE23</f>
        <v>0</v>
      </c>
      <c r="Q29" s="110" t="str">
        <f t="shared" ref="Q29:Q30" si="21">IF(SUM(M29:P29)=0,"No discount",IF(M29&gt;0,"Guaranteed off bill",IF(N29&gt;0,"Guaranteed off usage",IF(O29&gt;0,"Pay-on-time off bill","Pay-on-time off usage"))))</f>
        <v>No discount</v>
      </c>
      <c r="R29" s="73" t="str">
        <f t="shared" ref="R29:R30" si="22">IF(OR(A29="Origin Energy",A29="Red Energy",A29="Powershop"),"Inclusive","Exclusive")</f>
        <v>Exclusive</v>
      </c>
      <c r="S29" s="111">
        <f t="shared" ref="S29:S30" si="23">IF(AND(Q29="Guaranteed off bill",R29="Inclusive"),((K29*1.1)-((K29*1.1)*M29/100))/1.1,IF(AND(Q29="Guaranteed off usage",R29="Inclusive"),((K29*1.1)-((J29*1.1)*N29/100))/1.1,IF(AND(Q29="Guaranteed off bill",R29="Exclusive"),K29-(K29*M29/100),IF(AND(Q29="Guaranteed off usage",R29="Exclusive"),K29-(J29*N29/100),IF(R29="Inclusive",((K29*1.1))/1.1,K29)))))</f>
        <v>6481.2403636363633</v>
      </c>
      <c r="T29" s="112">
        <f t="shared" ref="T29:T30" si="24">S29-(S29*O29/100)</f>
        <v>6481.2403636363633</v>
      </c>
      <c r="U29" s="97">
        <f t="shared" ref="U29:U30" si="25">S29*1.1</f>
        <v>7129.3644000000004</v>
      </c>
      <c r="V29" s="98">
        <f t="shared" ref="V29:V30" si="26">T29*1.1</f>
        <v>7129.3644000000004</v>
      </c>
      <c r="W29" s="55">
        <f>'SA Apr 2022'!BL23</f>
        <v>0</v>
      </c>
      <c r="X29" s="56">
        <f>'SA Apr 2022'!BM23</f>
        <v>0</v>
      </c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337"/>
      <c r="AJ29" s="337"/>
      <c r="AK29" s="337"/>
      <c r="AL29" s="337"/>
      <c r="AM29" s="337"/>
      <c r="AN29" s="337"/>
      <c r="AO29" s="337"/>
      <c r="AP29" s="337"/>
      <c r="AQ29" s="337"/>
      <c r="AR29" s="337"/>
    </row>
    <row r="30" spans="1:44" ht="15" thickBot="1" x14ac:dyDescent="0.2">
      <c r="A30" s="71" t="str">
        <f>'SA Apr 2022'!K24</f>
        <v>Next Business Energy</v>
      </c>
      <c r="B30" s="72" t="str">
        <f>'SA Apr 2022'!L24</f>
        <v xml:space="preserve">Assured </v>
      </c>
      <c r="C30" s="58">
        <f>IF('SA Apr 2022'!BP24=0,91*'SA Apr 2022'!M24/100,(91*'SA Apr 2022'!M24/100)+'SA Apr 2022'!BP24/4)</f>
        <v>76.075999999999993</v>
      </c>
      <c r="D30" s="58">
        <f>IF('SA Apr 2022'!O24="",$C$5*'SA Apr 2022'!N24/100,IF($C$5&gt;='SA Apr 2022'!P24,('SA Apr 2022'!P24*'SA Apr 2022'!N24/100),($C$5*'SA Apr 2022'!N24/100)))</f>
        <v>1499.9999999999998</v>
      </c>
      <c r="E30" s="58">
        <f>IF(AND('SA Apr 2022'!P24&gt;0,'SA Apr 2022'!R24&gt;0),IF($C$5&lt;'SA Apr 2022'!P24,0,IF($C$5&lt;=('SA Apr 2022'!R24+'SA Apr 2022'!P24),(($C$5-'SA Apr 2022'!P24)*'SA Apr 2022'!Q24/100),(('SA Apr 2022'!R24)*'SA Apr 2022'!Q24/100))),0)</f>
        <v>0</v>
      </c>
      <c r="F30" s="58">
        <f>IF(AND('SA Apr 2022'!Q24&gt;0,'SA Apr 2022'!S24&gt;0),IF($C$5&lt;('SA Apr 2022'!R24+'SA Apr 2022'!P24),0,IF($C$5&lt;=('SA Apr 2022'!T24+'SA Apr 2022'!R24+'SA Apr 2022'!P24),(($C$5-('SA Apr 2022'!R24+'SA Apr 2022'!P24))*'SA Apr 2022'!S24/100),('SA Apr 2022'!T24*'SA Apr 2022'!S24/100))),0)</f>
        <v>0</v>
      </c>
      <c r="G30" s="59">
        <v>2</v>
      </c>
      <c r="H30" s="58">
        <f>IF(AND('SA Apr 2022'!R24&gt;0,'SA Apr 2022'!T24&gt;0),IF(($C$5&lt;'SA Apr 2022'!T24),(0),($C$5-'SA Apr 2022'!T24)*'SA Apr 2022'!U24/100),IF(AND('SA Apr 2022'!R24&gt;0,'SA Apr 2022'!T24=""),IF(($C$5&lt;'SA Apr 2022'!R24+'SA Apr 2022'!P24),(0),(($C$5-('SA Apr 2022'!R24+'SA Apr 2022'!P24))*'SA Apr 2022'!S24/100)),IF(AND('SA Apr 2022'!P24&gt;0,'SA Apr 2022'!R24=""&gt;0),IF(($C$5&lt;'SA Apr 2022'!P24),(0),($C$5-'SA Apr 2022'!P24)*'SA Apr 2022'!Q24/100),0)))</f>
        <v>0</v>
      </c>
      <c r="I30" s="61">
        <f t="shared" si="17"/>
        <v>1578.0759999999998</v>
      </c>
      <c r="J30" s="113">
        <f t="shared" si="18"/>
        <v>6007.9999999999991</v>
      </c>
      <c r="K30" s="114">
        <f t="shared" si="19"/>
        <v>6312.3039999999992</v>
      </c>
      <c r="L30" s="62">
        <f t="shared" si="20"/>
        <v>6943.5343999999996</v>
      </c>
      <c r="M30" s="63">
        <f>'SA Apr 2022'!BB24</f>
        <v>0</v>
      </c>
      <c r="N30" s="63">
        <f>'SA Apr 2022'!BC24</f>
        <v>0</v>
      </c>
      <c r="O30" s="63">
        <f>'SA Apr 2022'!BD24</f>
        <v>0</v>
      </c>
      <c r="P30" s="63">
        <f>'SA Apr 2022'!BE24</f>
        <v>0</v>
      </c>
      <c r="Q30" s="115" t="str">
        <f t="shared" si="21"/>
        <v>No discount</v>
      </c>
      <c r="R30" s="72" t="str">
        <f t="shared" si="22"/>
        <v>Exclusive</v>
      </c>
      <c r="S30" s="113">
        <f t="shared" si="23"/>
        <v>6312.3039999999992</v>
      </c>
      <c r="T30" s="114">
        <f t="shared" si="24"/>
        <v>6312.3039999999992</v>
      </c>
      <c r="U30" s="99">
        <f t="shared" si="25"/>
        <v>6943.5343999999996</v>
      </c>
      <c r="V30" s="100">
        <f t="shared" si="26"/>
        <v>6943.5343999999996</v>
      </c>
      <c r="W30" s="64">
        <f>'SA Apr 2022'!BL24</f>
        <v>0</v>
      </c>
      <c r="X30" s="65">
        <f>'SA Apr 2022'!BM24</f>
        <v>0</v>
      </c>
      <c r="Y30" s="337"/>
      <c r="Z30" s="337"/>
      <c r="AA30" s="337"/>
      <c r="AB30" s="337"/>
      <c r="AC30" s="337"/>
      <c r="AD30" s="337"/>
      <c r="AE30" s="337"/>
      <c r="AF30" s="337"/>
      <c r="AG30" s="337"/>
      <c r="AH30" s="337"/>
      <c r="AI30" s="337"/>
      <c r="AJ30" s="337"/>
      <c r="AK30" s="337"/>
      <c r="AL30" s="337"/>
      <c r="AM30" s="337"/>
      <c r="AN30" s="337"/>
      <c r="AO30" s="337"/>
      <c r="AP30" s="337"/>
      <c r="AQ30" s="337"/>
      <c r="AR30" s="337"/>
    </row>
    <row r="31" spans="1:44" ht="14" x14ac:dyDescent="0.15">
      <c r="A31" s="332"/>
      <c r="B31" s="332"/>
      <c r="C31" s="332"/>
      <c r="D31" s="332"/>
      <c r="E31" s="332"/>
      <c r="F31" s="332"/>
      <c r="G31" s="335"/>
      <c r="H31" s="335"/>
      <c r="I31" s="336"/>
      <c r="J31" s="336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2"/>
      <c r="X31" s="332"/>
      <c r="Y31" s="332"/>
      <c r="Z31" s="332"/>
      <c r="AA31" s="332"/>
      <c r="AB31" s="332"/>
      <c r="AC31" s="332"/>
      <c r="AD31" s="332"/>
      <c r="AE31" s="332"/>
      <c r="AF31" s="332"/>
      <c r="AG31" s="332"/>
      <c r="AH31" s="332"/>
      <c r="AI31" s="332"/>
      <c r="AJ31" s="332"/>
      <c r="AK31" s="332"/>
      <c r="AL31" s="332"/>
      <c r="AM31" s="332"/>
      <c r="AN31" s="332"/>
      <c r="AO31" s="332"/>
      <c r="AP31" s="332"/>
      <c r="AQ31" s="332"/>
      <c r="AR31" s="332"/>
    </row>
    <row r="32" spans="1:44" ht="15" thickBot="1" x14ac:dyDescent="0.2">
      <c r="A32" s="332"/>
      <c r="B32" s="332"/>
      <c r="C32" s="332"/>
      <c r="D32" s="335"/>
      <c r="E32" s="335"/>
      <c r="F32" s="335"/>
      <c r="G32" s="335"/>
      <c r="H32" s="335"/>
      <c r="I32" s="336"/>
      <c r="J32" s="336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</row>
    <row r="33" spans="1:44" ht="14" x14ac:dyDescent="0.15">
      <c r="A33" s="36" t="s">
        <v>84</v>
      </c>
      <c r="B33" s="37"/>
      <c r="C33" s="37"/>
      <c r="D33" s="42"/>
      <c r="E33" s="42"/>
      <c r="F33" s="42"/>
      <c r="G33" s="42"/>
      <c r="H33" s="42"/>
      <c r="I33" s="43"/>
      <c r="J33" s="43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9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37"/>
      <c r="AR33" s="337"/>
    </row>
    <row r="34" spans="1:44" ht="14" x14ac:dyDescent="0.15">
      <c r="A34" s="40" t="s">
        <v>197</v>
      </c>
      <c r="B34" s="38"/>
      <c r="C34" s="47">
        <v>5000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332"/>
      <c r="Z34" s="332"/>
      <c r="AA34" s="332"/>
      <c r="AB34" s="332"/>
      <c r="AC34" s="332"/>
      <c r="AD34" s="332"/>
      <c r="AE34" s="332"/>
      <c r="AF34" s="332"/>
      <c r="AG34" s="332"/>
      <c r="AH34" s="332"/>
      <c r="AI34" s="332"/>
      <c r="AJ34" s="332"/>
      <c r="AK34" s="332"/>
      <c r="AL34" s="332"/>
      <c r="AM34" s="332"/>
      <c r="AN34" s="332"/>
      <c r="AO34" s="332"/>
      <c r="AP34" s="332"/>
      <c r="AQ34" s="332"/>
      <c r="AR34" s="332"/>
    </row>
    <row r="35" spans="1:44" ht="14" x14ac:dyDescent="0.15">
      <c r="A35" s="40" t="s">
        <v>85</v>
      </c>
      <c r="B35" s="38"/>
      <c r="C35" s="48">
        <v>0.7</v>
      </c>
      <c r="D35" s="44"/>
      <c r="E35" s="44"/>
      <c r="F35" s="44"/>
      <c r="G35" s="44"/>
      <c r="H35" s="44"/>
      <c r="I35" s="45"/>
      <c r="J35" s="45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41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</row>
    <row r="36" spans="1:44" ht="14" x14ac:dyDescent="0.15">
      <c r="A36" s="40" t="s">
        <v>171</v>
      </c>
      <c r="B36" s="38"/>
      <c r="C36" s="48">
        <v>0.3</v>
      </c>
      <c r="D36" s="44"/>
      <c r="E36" s="44"/>
      <c r="F36" s="44"/>
      <c r="G36" s="44"/>
      <c r="H36" s="44"/>
      <c r="I36" s="45"/>
      <c r="J36" s="45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41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37"/>
      <c r="AR36" s="337"/>
    </row>
    <row r="37" spans="1:44" ht="14" x14ac:dyDescent="0.15">
      <c r="A37" s="40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88"/>
      <c r="S37" s="88"/>
      <c r="T37" s="88"/>
      <c r="U37" s="88"/>
      <c r="V37" s="38"/>
      <c r="W37" s="38"/>
      <c r="X37" s="41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</row>
    <row r="38" spans="1:44" ht="75" x14ac:dyDescent="0.15">
      <c r="A38" s="317" t="s">
        <v>216</v>
      </c>
      <c r="B38" s="272" t="s">
        <v>198</v>
      </c>
      <c r="C38" s="274" t="s">
        <v>199</v>
      </c>
      <c r="D38" s="274" t="s">
        <v>200</v>
      </c>
      <c r="E38" s="274" t="s">
        <v>201</v>
      </c>
      <c r="F38" s="274" t="s">
        <v>164</v>
      </c>
      <c r="G38" s="274" t="s">
        <v>84</v>
      </c>
      <c r="H38" s="274" t="s">
        <v>233</v>
      </c>
      <c r="I38" s="274" t="s">
        <v>165</v>
      </c>
      <c r="J38" s="275" t="s">
        <v>544</v>
      </c>
      <c r="K38" s="276" t="s">
        <v>166</v>
      </c>
      <c r="L38" s="277" t="s">
        <v>545</v>
      </c>
      <c r="M38" s="278" t="s">
        <v>167</v>
      </c>
      <c r="N38" s="278" t="s">
        <v>168</v>
      </c>
      <c r="O38" s="278" t="s">
        <v>169</v>
      </c>
      <c r="P38" s="278" t="s">
        <v>170</v>
      </c>
      <c r="Q38" s="279" t="s">
        <v>541</v>
      </c>
      <c r="R38" s="279" t="s">
        <v>542</v>
      </c>
      <c r="S38" s="280" t="s">
        <v>546</v>
      </c>
      <c r="T38" s="280" t="s">
        <v>547</v>
      </c>
      <c r="U38" s="281" t="s">
        <v>227</v>
      </c>
      <c r="V38" s="281" t="s">
        <v>272</v>
      </c>
      <c r="W38" s="278" t="s">
        <v>82</v>
      </c>
      <c r="X38" s="282" t="s">
        <v>83</v>
      </c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</row>
    <row r="39" spans="1:44" ht="14" x14ac:dyDescent="0.15">
      <c r="A39" s="70" t="str">
        <f>'SA Apr 2022'!K25</f>
        <v>AGL</v>
      </c>
      <c r="B39" s="49" t="str">
        <f>'SA Apr 2022'!L25</f>
        <v>Business Value Saver</v>
      </c>
      <c r="C39" s="46">
        <f>IF('SA Apr 2022'!BP25=0,91*'SA Apr 2022'!M25/100,(91*'SA Apr 2022'!M25/100)+'SA Apr 2022'!BP25/4)</f>
        <v>85.4820909090909</v>
      </c>
      <c r="D39" s="46">
        <f>IF('SA Apr 2022'!O25="",$C$34*$C$35*'SA Apr 2022'!N25/100,IF($C$34*$C$35&gt;='SA Apr 2022'!P25,('SA Apr 2022'!P25*'SA Apr 2022'!N25/100),($C$34*$C$35*'SA Apr 2022'!N25/100)))</f>
        <v>1115.5454545454545</v>
      </c>
      <c r="E39" s="46">
        <f>IF(AND('SA Apr 2022'!P25&gt;0,'SA Apr 2022'!R25&gt;0),IF($C$34*$C$35&lt;'SA Apr 2022'!P25,0,IF($C$34*$C$35&lt;=('SA Apr 2022'!R25+'SA Apr 2022'!P25),(($C$34*$C$35-'SA Apr 2022'!P25)*'SA Apr 2022'!Q25/100),(('SA Apr 2022'!R25)*'SA Apr 2022'!Q25/100))),0)</f>
        <v>0</v>
      </c>
      <c r="F39" s="46">
        <f>IF(AND('SA Apr 2022'!R25&gt;0,'SA Apr 2022'!T25&gt;0),IF(($C$34*$C$35&lt;'SA Apr 2022'!T25),(0),($C$34*$C$35-'SA Apr 2022'!T25)*'SA Apr 2022'!U25/100),IF(AND('SA Apr 2022'!R25&gt;0,'SA Apr 2022'!T25=""),IF(($C$34*$C$35&lt;'SA Apr 2022'!R25+'SA Apr 2022'!P25),(0),(($C$34*$C$35-('SA Apr 2022'!R25+'SA Apr 2022'!P25))*'SA Apr 2022'!S25/100)),IF(AND('SA Apr 2022'!P25&gt;0,'SA Apr 2022'!R25=""&gt;0),IF(($C$34*$C$35&lt;'SA Apr 2022'!P25),(0),($C$34*$C$35-'SA Apr 2022'!P25)*'SA Apr 2022'!Q25/100),0)))</f>
        <v>0</v>
      </c>
      <c r="G39" s="50">
        <f>($C$34*$C$36)*'SA Apr 2022'!AF25/100</f>
        <v>204.27272727272725</v>
      </c>
      <c r="H39" s="51">
        <v>0</v>
      </c>
      <c r="I39" s="52">
        <f t="shared" ref="I39:I58" si="27">SUM(C39:G39)</f>
        <v>1405.3002727272726</v>
      </c>
      <c r="J39" s="109">
        <f>(I39-C39)*4</f>
        <v>5279.272727272727</v>
      </c>
      <c r="K39" s="109">
        <f t="shared" ref="K39:K58" si="28">I39*4</f>
        <v>5621.2010909090905</v>
      </c>
      <c r="L39" s="53">
        <f t="shared" ref="L39:L58" si="29">K39*1.1</f>
        <v>6183.3212000000003</v>
      </c>
      <c r="M39" s="54">
        <f>'SA Apr 2022'!BB25</f>
        <v>0</v>
      </c>
      <c r="N39" s="54">
        <f>'SA Apr 2022'!BC25</f>
        <v>0</v>
      </c>
      <c r="O39" s="54">
        <f>'SA Apr 2022'!BD25</f>
        <v>0</v>
      </c>
      <c r="P39" s="54">
        <f>'SA Apr 2022'!BE25</f>
        <v>0</v>
      </c>
      <c r="Q39" s="110" t="str">
        <f t="shared" ref="Q39:Q43" si="30">IF(SUM(M39:P39)=0,"No discount",IF(M39&gt;0,"Guaranteed off bill",IF(N39&gt;0,"Guaranteed off usage",IF(O39&gt;0,"Pay-on-time off bill","Pay-on-time off usage"))))</f>
        <v>No discount</v>
      </c>
      <c r="R39" s="73" t="str">
        <f t="shared" ref="R39:R58" si="31">IF(OR(A39="Origin Energy",A39="Red Energy",A39="Powershop"),"Inclusive","Exclusive")</f>
        <v>Exclusive</v>
      </c>
      <c r="S39" s="111">
        <f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5621.2010909090905</v>
      </c>
      <c r="T39" s="112">
        <f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5621.2010909090905</v>
      </c>
      <c r="U39" s="97">
        <f>S39*1.1</f>
        <v>6183.3212000000003</v>
      </c>
      <c r="V39" s="98">
        <f>T39*1.1</f>
        <v>6183.3212000000003</v>
      </c>
      <c r="W39" s="55">
        <f>'SA Apr 2022'!BL25</f>
        <v>12</v>
      </c>
      <c r="X39" s="56">
        <f>'SA Apr 2022'!BM25</f>
        <v>0</v>
      </c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</row>
    <row r="40" spans="1:44" ht="14" x14ac:dyDescent="0.15">
      <c r="A40" s="70" t="str">
        <f>'SA Apr 2022'!K26</f>
        <v>Alinta Energy</v>
      </c>
      <c r="B40" s="49" t="str">
        <f>'SA Apr 2022'!L26</f>
        <v>BusinessDeal</v>
      </c>
      <c r="C40" s="46">
        <f>IF('SA Apr 2022'!BP26=0,91*'SA Apr 2022'!M26/100,(91*'SA Apr 2022'!M26/100)+'SA Apr 2022'!BP26/4)</f>
        <v>78.226909090909089</v>
      </c>
      <c r="D40" s="46">
        <f>IF('SA Apr 2022'!O26="",$C$34*$C$35*'SA Apr 2022'!N26/100,IF($C$34*$C$35&gt;='SA Apr 2022'!P26,('SA Apr 2022'!P26*'SA Apr 2022'!N26/100),($C$34*$C$35*'SA Apr 2022'!N26/100)))</f>
        <v>949.77272727272737</v>
      </c>
      <c r="E40" s="46">
        <f>IF(AND('SA Apr 2022'!P26&gt;0,'SA Apr 2022'!R26&gt;0),IF($C$34*$C$35&lt;'SA Apr 2022'!P26,0,IF($C$34*$C$35&lt;=('SA Apr 2022'!R26+'SA Apr 2022'!P26),(($C$34*$C$35-'SA Apr 2022'!P26)*'SA Apr 2022'!Q26/100),(('SA Apr 2022'!R26)*'SA Apr 2022'!Q26/100))),0)</f>
        <v>0</v>
      </c>
      <c r="F40" s="46">
        <f>IF(AND('SA Apr 2022'!R26&gt;0,'SA Apr 2022'!T26&gt;0),IF(($C$34*$C$35&lt;'SA Apr 2022'!T26),(0),($C$34*$C$35-'SA Apr 2022'!T26)*'SA Apr 2022'!U26/100),IF(AND('SA Apr 2022'!R26&gt;0,'SA Apr 2022'!T26=""),IF(($C$34*$C$35&lt;'SA Apr 2022'!R26+'SA Apr 2022'!P26),(0),(($C$34*$C$35-('SA Apr 2022'!R26+'SA Apr 2022'!P26))*'SA Apr 2022'!S26/100)),IF(AND('SA Apr 2022'!P26&gt;0,'SA Apr 2022'!R26=""&gt;0),IF(($C$34*$C$35&lt;'SA Apr 2022'!P26),(0),($C$34*$C$35-'SA Apr 2022'!P26)*'SA Apr 2022'!Q26/100),0)))</f>
        <v>0</v>
      </c>
      <c r="G40" s="50">
        <f>($C$34*$C$36)*'SA Apr 2022'!AF26/100</f>
        <v>232.6363636363636</v>
      </c>
      <c r="H40" s="51">
        <f>IF($C$34*$C$36&lt;'SA Apr 2022'!AG26,(0),((('SA Bills April 2022'!$C$34*'SA Bills April 2022'!$C$36)-('SA Apr 2022'!AG26))*'SA Apr 2022'!AH26/100))</f>
        <v>0</v>
      </c>
      <c r="I40" s="52">
        <f t="shared" si="27"/>
        <v>1260.636</v>
      </c>
      <c r="J40" s="109">
        <f t="shared" ref="J40:J58" si="32">(I40-C40)*4</f>
        <v>4729.636363636364</v>
      </c>
      <c r="K40" s="109">
        <f t="shared" si="28"/>
        <v>5042.5439999999999</v>
      </c>
      <c r="L40" s="53">
        <f t="shared" si="29"/>
        <v>5546.7984000000006</v>
      </c>
      <c r="M40" s="54">
        <f>'SA Apr 2022'!BB26</f>
        <v>0</v>
      </c>
      <c r="N40" s="54">
        <f>'SA Apr 2022'!BC26</f>
        <v>0</v>
      </c>
      <c r="O40" s="54">
        <f>'SA Apr 2022'!BD26</f>
        <v>0</v>
      </c>
      <c r="P40" s="54">
        <f>'SA Apr 2022'!BE26</f>
        <v>0</v>
      </c>
      <c r="Q40" s="110" t="str">
        <f t="shared" si="30"/>
        <v>No discount</v>
      </c>
      <c r="R40" s="73" t="str">
        <f t="shared" si="31"/>
        <v>Exclusive</v>
      </c>
      <c r="S40" s="111">
        <f>IF(AND(Q40="Guaranteed off bill",R40="Inclusive"),((K40*1.1)-((K40*1.1)*M40/100))/1.1,IF(AND(Q40="Guaranteed off usage",R40="Inclusive"),((K40*1.1)-((J40*1.1)*N40/100))/1.1,IF(AND(Q40="Guaranteed off bill",R40="Exclusive"),K40-(K40*M40/100),IF(AND(Q40="Guaranteed off usage",R40="Exclusive"),K40-(J40*N40/100),IF(R40="Inclusive",((K40*1.1))/1.1,K40)))))</f>
        <v>5042.5439999999999</v>
      </c>
      <c r="T40" s="112">
        <f>IF(AND(Q40="Pay-on-time off bill",R40="Inclusive"),((S40*1.1)-((S40*1.1)*O40/100))/1.1,IF(AND(Q40="Pay-on-time off usage",R40="Inclusive"),((S40*1.1)-((J40*1.1)*P40/100))/1.1,IF(AND(Q40="Pay-on-time off bill",R40="Exclusive"),S40-(S40*O40/100),IF(AND(Q40="Pay-on-time off usage",R40="Exclusive"),S40-(J40*P40/100),IF(R40="Inclusive",((S40*1.1))/1.1,S40)))))</f>
        <v>5042.5439999999999</v>
      </c>
      <c r="U40" s="97">
        <f t="shared" ref="U40:V55" si="33">S40*1.1</f>
        <v>5546.7984000000006</v>
      </c>
      <c r="V40" s="98">
        <f t="shared" si="33"/>
        <v>5546.7984000000006</v>
      </c>
      <c r="W40" s="55">
        <f>'SA Apr 2022'!BL26</f>
        <v>0</v>
      </c>
      <c r="X40" s="56">
        <f>'SA Apr 2022'!BM26</f>
        <v>0</v>
      </c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</row>
    <row r="41" spans="1:44" ht="14" x14ac:dyDescent="0.15">
      <c r="A41" s="70" t="str">
        <f>'SA Apr 2022'!K27</f>
        <v>Diamond Energy</v>
      </c>
      <c r="B41" s="49" t="str">
        <f>'SA Apr 2022'!L27</f>
        <v>Renewable Saver POT</v>
      </c>
      <c r="C41" s="46">
        <f>IF('SA Apr 2022'!BP27=0,91*'SA Apr 2022'!M27/100,(91*'SA Apr 2022'!M27/100)+'SA Apr 2022'!BP27/4)</f>
        <v>86.904999999999987</v>
      </c>
      <c r="D41" s="46">
        <f>IF('SA Apr 2022'!O27="",$C$34*$C$35*'SA Apr 2022'!N27/100,IF($C$34*$C$35&gt;='SA Apr 2022'!P27,('SA Apr 2022'!P27*'SA Apr 2022'!N27/100),($C$34*$C$35*'SA Apr 2022'!N27/100)))</f>
        <v>301.5454545454545</v>
      </c>
      <c r="E41" s="46">
        <f>IF(AND('SA Apr 2022'!P27&gt;0,'SA Apr 2022'!R27&gt;0),IF($C$34*$C$35&lt;'SA Apr 2022'!P27,0,IF($C$34*$C$35&lt;=('SA Apr 2022'!R27+'SA Apr 2022'!P27),(($C$34*$C$35-'SA Apr 2022'!P27)*'SA Apr 2022'!Q27/100),(('SA Apr 2022'!R27)*'SA Apr 2022'!Q27/100))),0)</f>
        <v>0</v>
      </c>
      <c r="F41" s="46">
        <f>IF(AND('SA Apr 2022'!R27&gt;0,'SA Apr 2022'!T27&gt;0),IF(($C$34*$C$35&lt;'SA Apr 2022'!T27),(0),($C$34*$C$35-'SA Apr 2022'!T27)*'SA Apr 2022'!U27/100),IF(AND('SA Apr 2022'!R27&gt;0,'SA Apr 2022'!T27=""),IF(($C$34*$C$35&lt;'SA Apr 2022'!R27+'SA Apr 2022'!P27),(0),(($C$34*$C$35-('SA Apr 2022'!R27+'SA Apr 2022'!P27))*'SA Apr 2022'!S27/100)),IF(AND('SA Apr 2022'!P27&gt;0,'SA Apr 2022'!R27=""&gt;0),IF(($C$34*$C$35&lt;'SA Apr 2022'!P27),(0),($C$34*$C$35-'SA Apr 2022'!P27)*'SA Apr 2022'!Q27/100),0)))</f>
        <v>918.86363636363637</v>
      </c>
      <c r="G41" s="50">
        <f>($C$34*$C$36)*'SA Apr 2022'!AF27/100</f>
        <v>258.5454545454545</v>
      </c>
      <c r="H41" s="51">
        <v>0</v>
      </c>
      <c r="I41" s="52">
        <f t="shared" si="27"/>
        <v>1565.8595454545452</v>
      </c>
      <c r="J41" s="109">
        <f t="shared" si="32"/>
        <v>5915.8181818181811</v>
      </c>
      <c r="K41" s="109">
        <f t="shared" si="28"/>
        <v>6263.438181818181</v>
      </c>
      <c r="L41" s="53">
        <f t="shared" si="29"/>
        <v>6889.7819999999992</v>
      </c>
      <c r="M41" s="54">
        <f>'SA Apr 2022'!BB27</f>
        <v>0</v>
      </c>
      <c r="N41" s="54">
        <f>'SA Apr 2022'!BC27</f>
        <v>0</v>
      </c>
      <c r="O41" s="54">
        <f>'SA Apr 2022'!BD27</f>
        <v>7</v>
      </c>
      <c r="P41" s="54">
        <f>'SA Apr 2022'!BE27</f>
        <v>0</v>
      </c>
      <c r="Q41" s="110" t="str">
        <f t="shared" si="30"/>
        <v>Pay-on-time off bill</v>
      </c>
      <c r="R41" s="73" t="str">
        <f t="shared" si="31"/>
        <v>Exclusive</v>
      </c>
      <c r="S41" s="111">
        <f t="shared" ref="S41:S58" si="34">IF(AND(Q41="Guaranteed off bill",R41="Inclusive"),((K41*1.1)-((K41*1.1)*M41/100))/1.1,IF(AND(Q41="Guaranteed off usage",R41="Inclusive"),((K41*1.1)-((J41*1.1)*N41/100))/1.1,IF(AND(Q41="Guaranteed off bill",R41="Exclusive"),K41-(K41*M41/100),IF(AND(Q41="Guaranteed off usage",R41="Exclusive"),K41-(J41*N41/100),IF(R41="Inclusive",((K41*1.1))/1.1,K41)))))</f>
        <v>6263.438181818181</v>
      </c>
      <c r="T41" s="112">
        <f t="shared" ref="T41:T61" si="35">IF(AND(Q41="Pay-on-time off bill",R41="Inclusive"),((S41*1.1)-((S41*1.1)*O41/100))/1.1,IF(AND(Q41="Pay-on-time off usage",R41="Inclusive"),((S41*1.1)-((J41*1.1)*P41/100))/1.1,IF(AND(Q41="Pay-on-time off bill",R41="Exclusive"),S41-(S41*O41/100),IF(AND(Q41="Pay-on-time off usage",R41="Exclusive"),S41-(J41*P41/100),IF(R41="Inclusive",((S41*1.1))/1.1,S41)))))</f>
        <v>5824.9975090909084</v>
      </c>
      <c r="U41" s="97">
        <f t="shared" si="33"/>
        <v>6889.7819999999992</v>
      </c>
      <c r="V41" s="98">
        <f t="shared" si="33"/>
        <v>6407.4972600000001</v>
      </c>
      <c r="W41" s="55">
        <f>'SA Apr 2022'!BL27</f>
        <v>0</v>
      </c>
      <c r="X41" s="56">
        <f>'SA Apr 2022'!BM27</f>
        <v>0</v>
      </c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</row>
    <row r="42" spans="1:44" ht="14" x14ac:dyDescent="0.15">
      <c r="A42" s="70" t="str">
        <f>'SA Apr 2022'!K28</f>
        <v>EnergyAustralia</v>
      </c>
      <c r="B42" s="49" t="str">
        <f>'SA Apr 2022'!L28</f>
        <v>Total Plan</v>
      </c>
      <c r="C42" s="46">
        <f>IF('SA Apr 2022'!BP28=0,91*'SA Apr 2022'!M28/100,(91*'SA Apr 2022'!M28/100)+'SA Apr 2022'!BP28/4)</f>
        <v>89.634999999999977</v>
      </c>
      <c r="D42" s="46">
        <f>IF('SA Apr 2022'!O28="",$C$34*$C$35*'SA Apr 2022'!N28/100,IF($C$34*$C$35&gt;='SA Apr 2022'!P28,('SA Apr 2022'!P28*'SA Apr 2022'!N28/100),($C$34*$C$35*'SA Apr 2022'!N28/100)))</f>
        <v>1215.1363636363633</v>
      </c>
      <c r="E42" s="46">
        <f>IF(AND('SA Apr 2022'!P28&gt;0,'SA Apr 2022'!R28&gt;0),IF($C$34*$C$35&lt;'SA Apr 2022'!P28,0,IF($C$34*$C$35&lt;=('SA Apr 2022'!R28+'SA Apr 2022'!P28),(($C$34*$C$35-'SA Apr 2022'!P28)*'SA Apr 2022'!Q28/100),(('SA Apr 2022'!R28)*'SA Apr 2022'!Q28/100))),0)</f>
        <v>0</v>
      </c>
      <c r="F42" s="46">
        <f>IF(AND('SA Apr 2022'!R28&gt;0,'SA Apr 2022'!T28&gt;0),IF(($C$34*$C$35&lt;'SA Apr 2022'!T28),(0),($C$34*$C$35-'SA Apr 2022'!T28)*'SA Apr 2022'!U28/100),IF(AND('SA Apr 2022'!R28&gt;0,'SA Apr 2022'!T28=""),IF(($C$34*$C$35&lt;'SA Apr 2022'!R28+'SA Apr 2022'!P28),(0),(($C$34*$C$35-('SA Apr 2022'!R28+'SA Apr 2022'!P28))*'SA Apr 2022'!S28/100)),IF(AND('SA Apr 2022'!P28&gt;0,'SA Apr 2022'!R28=""&gt;0),IF(($C$34*$C$35&lt;'SA Apr 2022'!P28),(0),($C$34*$C$35-'SA Apr 2022'!P28)*'SA Apr 2022'!Q28/100),0)))</f>
        <v>0</v>
      </c>
      <c r="G42" s="50">
        <f>($C$34*$C$36)*'SA Apr 2022'!AF28/100</f>
        <v>220.77272727272728</v>
      </c>
      <c r="H42" s="51">
        <v>0</v>
      </c>
      <c r="I42" s="52">
        <f t="shared" si="27"/>
        <v>1525.5440909090905</v>
      </c>
      <c r="J42" s="109">
        <f t="shared" si="32"/>
        <v>5743.6363636363621</v>
      </c>
      <c r="K42" s="109">
        <f t="shared" si="28"/>
        <v>6102.1763636363621</v>
      </c>
      <c r="L42" s="53">
        <f t="shared" si="29"/>
        <v>6712.3939999999984</v>
      </c>
      <c r="M42" s="54">
        <f>'SA Apr 2022'!BB28</f>
        <v>3</v>
      </c>
      <c r="N42" s="54">
        <f>'SA Apr 2022'!BC28</f>
        <v>0</v>
      </c>
      <c r="O42" s="54">
        <f>'SA Apr 2022'!BD28</f>
        <v>0</v>
      </c>
      <c r="P42" s="54">
        <f>'SA Apr 2022'!BE28</f>
        <v>0</v>
      </c>
      <c r="Q42" s="110" t="str">
        <f t="shared" si="30"/>
        <v>Guaranteed off bill</v>
      </c>
      <c r="R42" s="73" t="str">
        <f t="shared" si="31"/>
        <v>Exclusive</v>
      </c>
      <c r="S42" s="111">
        <f t="shared" si="34"/>
        <v>5919.1110727272717</v>
      </c>
      <c r="T42" s="112">
        <f t="shared" si="35"/>
        <v>5919.1110727272717</v>
      </c>
      <c r="U42" s="97">
        <f t="shared" si="33"/>
        <v>6511.022179999999</v>
      </c>
      <c r="V42" s="98">
        <f t="shared" si="33"/>
        <v>6511.022179999999</v>
      </c>
      <c r="W42" s="55">
        <f>'SA Apr 2022'!BL28</f>
        <v>0</v>
      </c>
      <c r="X42" s="56">
        <f>'SA Apr 2022'!BM28</f>
        <v>0</v>
      </c>
      <c r="Y42" s="332"/>
      <c r="Z42" s="332"/>
      <c r="AA42" s="332"/>
      <c r="AB42" s="332"/>
      <c r="AC42" s="332"/>
      <c r="AD42" s="332"/>
      <c r="AE42" s="332"/>
      <c r="AF42" s="332"/>
      <c r="AG42" s="332"/>
      <c r="AH42" s="332"/>
      <c r="AI42" s="332"/>
      <c r="AJ42" s="332"/>
      <c r="AK42" s="332"/>
      <c r="AL42" s="332"/>
      <c r="AM42" s="332"/>
      <c r="AN42" s="332"/>
      <c r="AO42" s="332"/>
      <c r="AP42" s="332"/>
      <c r="AQ42" s="332"/>
      <c r="AR42" s="332"/>
    </row>
    <row r="43" spans="1:44" ht="14" x14ac:dyDescent="0.15">
      <c r="A43" s="70" t="str">
        <f>'SA Apr 2022'!K29</f>
        <v>Lumo Energy</v>
      </c>
      <c r="B43" s="49" t="str">
        <f>'SA Apr 2022'!L29</f>
        <v>Basic</v>
      </c>
      <c r="C43" s="46">
        <f>IF('SA Apr 2022'!BP29=0,91*'SA Apr 2022'!M29/100,(91*'SA Apr 2022'!M29/100)+'SA Apr 2022'!BP29/4)</f>
        <v>78.276545454545442</v>
      </c>
      <c r="D43" s="46">
        <f>IF('SA Apr 2022'!O29="",$C$34*$C$35*'SA Apr 2022'!N29/100,IF($C$34*$C$35&gt;='SA Apr 2022'!P29,('SA Apr 2022'!P29*'SA Apr 2022'!N29/100),($C$34*$C$35*'SA Apr 2022'!N29/100)))</f>
        <v>1034.4090909090908</v>
      </c>
      <c r="E43" s="46">
        <f>IF(AND('SA Apr 2022'!P29&gt;0,'SA Apr 2022'!R29&gt;0),IF($C$34*$C$35&lt;'SA Apr 2022'!P29,0,IF($C$34*$C$35&lt;=('SA Apr 2022'!R29+'SA Apr 2022'!P29),(($C$34*$C$35-'SA Apr 2022'!P29)*'SA Apr 2022'!Q29/100),(('SA Apr 2022'!R29)*'SA Apr 2022'!Q29/100))),0)</f>
        <v>0</v>
      </c>
      <c r="F43" s="46">
        <f>IF(AND('SA Apr 2022'!R29&gt;0,'SA Apr 2022'!T29&gt;0),IF(($C$34*$C$35&lt;'SA Apr 2022'!T29),(0),($C$34*$C$35-'SA Apr 2022'!T29)*'SA Apr 2022'!U29/100),IF(AND('SA Apr 2022'!R29&gt;0,'SA Apr 2022'!T29=""),IF(($C$34*$C$35&lt;'SA Apr 2022'!R29+'SA Apr 2022'!P29),(0),(($C$34*$C$35-('SA Apr 2022'!R29+'SA Apr 2022'!P29))*'SA Apr 2022'!S29/100)),IF(AND('SA Apr 2022'!P29&gt;0,'SA Apr 2022'!R29=""&gt;0),IF(($C$34*$C$35&lt;'SA Apr 2022'!P29),(0),($C$34*$C$35-'SA Apr 2022'!P29)*'SA Apr 2022'!Q29/100),0)))</f>
        <v>0</v>
      </c>
      <c r="G43" s="50">
        <f>($C$34*$C$36)*'SA Apr 2022'!AF29/100</f>
        <v>208.36363636363632</v>
      </c>
      <c r="H43" s="51">
        <v>1</v>
      </c>
      <c r="I43" s="52">
        <f t="shared" si="27"/>
        <v>1321.0492727272724</v>
      </c>
      <c r="J43" s="109">
        <f t="shared" si="32"/>
        <v>4971.0909090909081</v>
      </c>
      <c r="K43" s="109">
        <f t="shared" si="28"/>
        <v>5284.1970909090896</v>
      </c>
      <c r="L43" s="53">
        <f t="shared" si="29"/>
        <v>5812.6167999999989</v>
      </c>
      <c r="M43" s="54">
        <f>'SA Apr 2022'!BB29</f>
        <v>0</v>
      </c>
      <c r="N43" s="54">
        <f>'SA Apr 2022'!BC29</f>
        <v>0</v>
      </c>
      <c r="O43" s="54">
        <f>'SA Apr 2022'!BD29</f>
        <v>0</v>
      </c>
      <c r="P43" s="54">
        <f>'SA Apr 2022'!BE29</f>
        <v>0</v>
      </c>
      <c r="Q43" s="110" t="str">
        <f t="shared" si="30"/>
        <v>No discount</v>
      </c>
      <c r="R43" s="73" t="str">
        <f t="shared" si="31"/>
        <v>Exclusive</v>
      </c>
      <c r="S43" s="111">
        <f t="shared" si="34"/>
        <v>5284.1970909090896</v>
      </c>
      <c r="T43" s="112">
        <f t="shared" si="35"/>
        <v>5284.1970909090896</v>
      </c>
      <c r="U43" s="97">
        <f t="shared" si="33"/>
        <v>5812.6167999999989</v>
      </c>
      <c r="V43" s="98">
        <f t="shared" si="33"/>
        <v>5812.6167999999989</v>
      </c>
      <c r="W43" s="55">
        <f>'SA Apr 2022'!BL29</f>
        <v>0</v>
      </c>
      <c r="X43" s="56">
        <f>'SA Apr 2022'!BM29</f>
        <v>0</v>
      </c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332"/>
      <c r="AJ43" s="332"/>
      <c r="AK43" s="332"/>
      <c r="AL43" s="332"/>
      <c r="AM43" s="332"/>
      <c r="AN43" s="332"/>
      <c r="AO43" s="332"/>
      <c r="AP43" s="332"/>
      <c r="AQ43" s="332"/>
      <c r="AR43" s="332"/>
    </row>
    <row r="44" spans="1:44" ht="14" x14ac:dyDescent="0.15">
      <c r="A44" s="70" t="str">
        <f>'SA Apr 2022'!K30</f>
        <v>Momentum Energy</v>
      </c>
      <c r="B44" s="49" t="str">
        <f>'SA Apr 2022'!L30</f>
        <v>SmilePower Flexi</v>
      </c>
      <c r="C44" s="46">
        <f>IF('SA Apr 2022'!BP30=0,91*'SA Apr 2022'!M30/100,(91*'SA Apr 2022'!M30/100)+'SA Apr 2022'!BP30/4)</f>
        <v>82.627999999999986</v>
      </c>
      <c r="D44" s="46">
        <f>IF('SA Apr 2022'!O30="",$C$34*$C$35*'SA Apr 2022'!N30/100,IF($C$34*$C$35&gt;='SA Apr 2022'!P30,('SA Apr 2022'!P30*'SA Apr 2022'!N30/100),($C$34*$C$35*'SA Apr 2022'!N30/100)))</f>
        <v>1268.2727272727273</v>
      </c>
      <c r="E44" s="46">
        <f>IF(AND('SA Apr 2022'!P30&gt;0,'SA Apr 2022'!R30&gt;0),IF($C$34*$C$35&lt;'SA Apr 2022'!P30,0,IF($C$34*$C$35&lt;=('SA Apr 2022'!R30+'SA Apr 2022'!P30),(($C$34*$C$35-'SA Apr 2022'!P30)*'SA Apr 2022'!Q30/100),(('SA Apr 2022'!R30)*'SA Apr 2022'!Q30/100))),0)</f>
        <v>0</v>
      </c>
      <c r="F44" s="46">
        <f>IF(AND('SA Apr 2022'!R30&gt;0,'SA Apr 2022'!T30&gt;0),IF(($C$34*$C$35&lt;'SA Apr 2022'!T30),(0),($C$34*$C$35-'SA Apr 2022'!T30)*'SA Apr 2022'!U30/100),IF(AND('SA Apr 2022'!R30&gt;0,'SA Apr 2022'!T30=""),IF(($C$34*$C$35&lt;'SA Apr 2022'!R30+'SA Apr 2022'!P30),(0),(($C$34*$C$35-('SA Apr 2022'!R30+'SA Apr 2022'!P30))*'SA Apr 2022'!S30/100)),IF(AND('SA Apr 2022'!P30&gt;0,'SA Apr 2022'!R30=""&gt;0),IF(($C$34*$C$35&lt;'SA Apr 2022'!P30),(0),($C$34*$C$35-'SA Apr 2022'!P30)*'SA Apr 2022'!Q30/100),0)))</f>
        <v>0</v>
      </c>
      <c r="G44" s="50">
        <f>($C$34*$C$36)*'SA Apr 2022'!AF30/100</f>
        <v>319.63636363636363</v>
      </c>
      <c r="H44" s="51">
        <v>0</v>
      </c>
      <c r="I44" s="52">
        <f t="shared" si="27"/>
        <v>1670.5370909090907</v>
      </c>
      <c r="J44" s="109">
        <f t="shared" si="32"/>
        <v>6351.6363636363631</v>
      </c>
      <c r="K44" s="109">
        <f t="shared" si="28"/>
        <v>6682.1483636363628</v>
      </c>
      <c r="L44" s="53">
        <f t="shared" si="29"/>
        <v>7350.3631999999998</v>
      </c>
      <c r="M44" s="54">
        <f>'SA Apr 2022'!BB30</f>
        <v>0</v>
      </c>
      <c r="N44" s="54">
        <f>'SA Apr 2022'!BC30</f>
        <v>0</v>
      </c>
      <c r="O44" s="54">
        <f>'SA Apr 2022'!BD30</f>
        <v>0</v>
      </c>
      <c r="P44" s="54">
        <f>'SA Apr 2022'!BE30</f>
        <v>0</v>
      </c>
      <c r="Q44" s="110" t="str">
        <f>IF(SUM(M44:P44)=0,"No discount",IF(M44&gt;0,"Guaranteed off bill",IF(N44&gt;0,"Guaranteed off usage",IF(O44&gt;0,"Pay-on-time off bill","Pay-on-time off usage"))))</f>
        <v>No discount</v>
      </c>
      <c r="R44" s="73" t="str">
        <f t="shared" si="31"/>
        <v>Exclusive</v>
      </c>
      <c r="S44" s="111">
        <f t="shared" si="34"/>
        <v>6682.1483636363628</v>
      </c>
      <c r="T44" s="112">
        <f t="shared" si="35"/>
        <v>6682.1483636363628</v>
      </c>
      <c r="U44" s="97">
        <f t="shared" si="33"/>
        <v>7350.3631999999998</v>
      </c>
      <c r="V44" s="98">
        <f t="shared" si="33"/>
        <v>7350.3631999999998</v>
      </c>
      <c r="W44" s="55">
        <f>'SA Apr 2022'!BL30</f>
        <v>0</v>
      </c>
      <c r="X44" s="56">
        <f>'SA Apr 2022'!BM30</f>
        <v>0</v>
      </c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</row>
    <row r="45" spans="1:44" ht="14" x14ac:dyDescent="0.15">
      <c r="A45" s="70" t="str">
        <f>'SA Apr 2022'!K31</f>
        <v>Origin Energy</v>
      </c>
      <c r="B45" s="49" t="str">
        <f>'SA Apr 2022'!L31</f>
        <v>Go Variable</v>
      </c>
      <c r="C45" s="46">
        <f>IF('SA Apr 2022'!BP31=0,91*'SA Apr 2022'!M31/100,(91*'SA Apr 2022'!M31/100)+'SA Apr 2022'!BP31/4)</f>
        <v>66.736090909090905</v>
      </c>
      <c r="D45" s="46">
        <f>IF('SA Apr 2022'!O31="",$C$34*$C$35*'SA Apr 2022'!N31/100,IF($C$34*$C$35&gt;='SA Apr 2022'!P31,('SA Apr 2022'!P31*'SA Apr 2022'!N31/100),($C$34*$C$35*'SA Apr 2022'!N31/100)))</f>
        <v>1026.7727272727273</v>
      </c>
      <c r="E45" s="46">
        <f>IF(AND('SA Apr 2022'!P31&gt;0,'SA Apr 2022'!R31&gt;0),IF($C$34*$C$35&lt;'SA Apr 2022'!P31,0,IF($C$34*$C$35&lt;=('SA Apr 2022'!R31+'SA Apr 2022'!P31),(($C$34*$C$35-'SA Apr 2022'!P31)*'SA Apr 2022'!Q31/100),(('SA Apr 2022'!R31)*'SA Apr 2022'!Q31/100))),0)</f>
        <v>0</v>
      </c>
      <c r="F45" s="46">
        <f>IF(AND('SA Apr 2022'!R31&gt;0,'SA Apr 2022'!T31&gt;0),IF(($C$34*$C$35&lt;'SA Apr 2022'!T31),(0),($C$34*$C$35-'SA Apr 2022'!T31)*'SA Apr 2022'!U31/100),IF(AND('SA Apr 2022'!R31&gt;0,'SA Apr 2022'!T31=""),IF(($C$34*$C$35&lt;'SA Apr 2022'!R31+'SA Apr 2022'!P31),(0),(($C$34*$C$35-('SA Apr 2022'!R31+'SA Apr 2022'!P31))*'SA Apr 2022'!S31/100)),IF(AND('SA Apr 2022'!P31&gt;0,'SA Apr 2022'!R31=""&gt;0),IF(($C$34*$C$35&lt;'SA Apr 2022'!P31),(0),($C$34*$C$35-'SA Apr 2022'!P31)*'SA Apr 2022'!Q31/100),0)))</f>
        <v>0</v>
      </c>
      <c r="G45" s="50">
        <f>($C$34*$C$36)*'SA Apr 2022'!AF31/100</f>
        <v>182.31818181818181</v>
      </c>
      <c r="H45" s="51">
        <v>0</v>
      </c>
      <c r="I45" s="52">
        <f t="shared" si="27"/>
        <v>1275.827</v>
      </c>
      <c r="J45" s="109">
        <f t="shared" si="32"/>
        <v>4836.363636363636</v>
      </c>
      <c r="K45" s="109">
        <f t="shared" si="28"/>
        <v>5103.308</v>
      </c>
      <c r="L45" s="53">
        <f t="shared" si="29"/>
        <v>5613.6388000000006</v>
      </c>
      <c r="M45" s="54">
        <f>'SA Apr 2022'!BB31</f>
        <v>0</v>
      </c>
      <c r="N45" s="54">
        <f>'SA Apr 2022'!BC31</f>
        <v>0</v>
      </c>
      <c r="O45" s="54">
        <f>'SA Apr 2022'!BD31</f>
        <v>0</v>
      </c>
      <c r="P45" s="54">
        <f>'SA Apr 2022'!BE31</f>
        <v>0</v>
      </c>
      <c r="Q45" s="110" t="str">
        <f t="shared" ref="Q45:Q55" si="36">IF(SUM(M45:P45)=0,"No discount",IF(M45&gt;0,"Guaranteed off bill",IF(N45&gt;0,"Guaranteed off usage",IF(O45&gt;0,"Pay-on-time off bill","Pay-on-time off usage"))))</f>
        <v>No discount</v>
      </c>
      <c r="R45" s="73" t="str">
        <f t="shared" si="31"/>
        <v>Inclusive</v>
      </c>
      <c r="S45" s="111">
        <f t="shared" si="34"/>
        <v>5103.308</v>
      </c>
      <c r="T45" s="112">
        <f t="shared" si="35"/>
        <v>5103.308</v>
      </c>
      <c r="U45" s="97">
        <f t="shared" si="33"/>
        <v>5613.6388000000006</v>
      </c>
      <c r="V45" s="98">
        <f t="shared" si="33"/>
        <v>5613.6388000000006</v>
      </c>
      <c r="W45" s="55">
        <f>'SA Apr 2022'!BL31</f>
        <v>0</v>
      </c>
      <c r="X45" s="56">
        <f>'SA Apr 2022'!BM31</f>
        <v>0</v>
      </c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</row>
    <row r="46" spans="1:44" ht="14" x14ac:dyDescent="0.15">
      <c r="A46" s="70" t="str">
        <f>'SA Apr 2022'!K32</f>
        <v>Red Energy</v>
      </c>
      <c r="B46" s="49" t="str">
        <f>'SA Apr 2022'!L32</f>
        <v>Red Business Saver</v>
      </c>
      <c r="C46" s="46">
        <f>IF('SA Apr 2022'!BP32=0,91*'SA Apr 2022'!M32/100,(91*'SA Apr 2022'!M32/100)+'SA Apr 2022'!BP32/4)</f>
        <v>78.276545454545442</v>
      </c>
      <c r="D46" s="46">
        <f>IF('SA Apr 2022'!O32="",$C$34*$C$35*'SA Apr 2022'!N32/100,IF($C$34*$C$35&gt;='SA Apr 2022'!P32,('SA Apr 2022'!P32*'SA Apr 2022'!N32/100),($C$34*$C$35*'SA Apr 2022'!N32/100)))</f>
        <v>1034.4090909090908</v>
      </c>
      <c r="E46" s="46">
        <f>IF(AND('SA Apr 2022'!P32&gt;0,'SA Apr 2022'!R32&gt;0),IF($C$34*$C$35&lt;'SA Apr 2022'!P32,0,IF($C$34*$C$35&lt;=('SA Apr 2022'!R32+'SA Apr 2022'!P32),(($C$34*$C$35-'SA Apr 2022'!P32)*'SA Apr 2022'!Q32/100),(('SA Apr 2022'!R32)*'SA Apr 2022'!Q32/100))),0)</f>
        <v>0</v>
      </c>
      <c r="F46" s="46">
        <f>IF(AND('SA Apr 2022'!R32&gt;0,'SA Apr 2022'!T32&gt;0),IF(($C$34*$C$35&lt;'SA Apr 2022'!T32),(0),($C$34*$C$35-'SA Apr 2022'!T32)*'SA Apr 2022'!U32/100),IF(AND('SA Apr 2022'!R32&gt;0,'SA Apr 2022'!T32=""),IF(($C$34*$C$35&lt;'SA Apr 2022'!R32+'SA Apr 2022'!P32),(0),(($C$34*$C$35-('SA Apr 2022'!R32+'SA Apr 2022'!P32))*'SA Apr 2022'!S32/100)),IF(AND('SA Apr 2022'!P32&gt;0,'SA Apr 2022'!R32=""&gt;0),IF(($C$34*$C$35&lt;'SA Apr 2022'!P32),(0),($C$34*$C$35-'SA Apr 2022'!P32)*'SA Apr 2022'!Q32/100),0)))</f>
        <v>0</v>
      </c>
      <c r="G46" s="50">
        <f>($C$34*$C$36)*'SA Apr 2022'!AF32/100</f>
        <v>208.36363636363632</v>
      </c>
      <c r="H46" s="51">
        <v>0</v>
      </c>
      <c r="I46" s="52">
        <f t="shared" si="27"/>
        <v>1321.0492727272724</v>
      </c>
      <c r="J46" s="109">
        <f t="shared" si="32"/>
        <v>4971.0909090909081</v>
      </c>
      <c r="K46" s="109">
        <f t="shared" si="28"/>
        <v>5284.1970909090896</v>
      </c>
      <c r="L46" s="53">
        <f t="shared" si="29"/>
        <v>5812.6167999999989</v>
      </c>
      <c r="M46" s="54">
        <f>'SA Apr 2022'!BB32</f>
        <v>0</v>
      </c>
      <c r="N46" s="54">
        <f>'SA Apr 2022'!BC32</f>
        <v>0</v>
      </c>
      <c r="O46" s="54">
        <f>'SA Apr 2022'!BD32</f>
        <v>0</v>
      </c>
      <c r="P46" s="54">
        <f>'SA Apr 2022'!BE32</f>
        <v>0</v>
      </c>
      <c r="Q46" s="110" t="str">
        <f t="shared" si="36"/>
        <v>No discount</v>
      </c>
      <c r="R46" s="73" t="str">
        <f t="shared" si="31"/>
        <v>Inclusive</v>
      </c>
      <c r="S46" s="111">
        <f t="shared" si="34"/>
        <v>5284.1970909090896</v>
      </c>
      <c r="T46" s="112">
        <f t="shared" si="35"/>
        <v>5284.1970909090896</v>
      </c>
      <c r="U46" s="97">
        <f t="shared" si="33"/>
        <v>5812.6167999999989</v>
      </c>
      <c r="V46" s="98">
        <f t="shared" si="33"/>
        <v>5812.6167999999989</v>
      </c>
      <c r="W46" s="55">
        <f>'SA Apr 2022'!BL32</f>
        <v>0</v>
      </c>
      <c r="X46" s="56">
        <f>'SA Apr 2022'!BM32</f>
        <v>0</v>
      </c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</row>
    <row r="47" spans="1:44" ht="14" x14ac:dyDescent="0.15">
      <c r="A47" s="70" t="str">
        <f>'SA Apr 2022'!K33</f>
        <v>Simply Energy</v>
      </c>
      <c r="B47" s="49" t="str">
        <f>'SA Apr 2022'!L33</f>
        <v>Business Saver - 18% off</v>
      </c>
      <c r="C47" s="46">
        <f>IF('SA Apr 2022'!BP33=0,91*'SA Apr 2022'!M33/100,(91*'SA Apr 2022'!M33/100)+'SA Apr 2022'!BP33/4)</f>
        <v>88.179000000000002</v>
      </c>
      <c r="D47" s="46">
        <f>IF('SA Apr 2022'!O33="",$C$34*$C$35*'SA Apr 2022'!N33/100,IF($C$34*$C$35&gt;='SA Apr 2022'!P33,('SA Apr 2022'!P33*'SA Apr 2022'!N33/100),($C$34*$C$35*'SA Apr 2022'!N33/100)))</f>
        <v>1271.4545454545455</v>
      </c>
      <c r="E47" s="46">
        <f>IF(AND('SA Apr 2022'!P33&gt;0,'SA Apr 2022'!R33&gt;0),IF($C$34*$C$35&lt;'SA Apr 2022'!P33,0,IF($C$34*$C$35&lt;=('SA Apr 2022'!R33+'SA Apr 2022'!P33),(($C$34*$C$35-'SA Apr 2022'!P33)*'SA Apr 2022'!Q33/100),(('SA Apr 2022'!R33)*'SA Apr 2022'!Q33/100))),0)</f>
        <v>0</v>
      </c>
      <c r="F47" s="46">
        <f>IF(AND('SA Apr 2022'!R33&gt;0,'SA Apr 2022'!T33&gt;0),IF(($C$34*$C$35&lt;'SA Apr 2022'!T33),(0),($C$34*$C$35-'SA Apr 2022'!T33)*'SA Apr 2022'!U33/100),IF(AND('SA Apr 2022'!R33&gt;0,'SA Apr 2022'!T33=""),IF(($C$34*$C$35&lt;'SA Apr 2022'!R33+'SA Apr 2022'!P33),(0),(($C$34*$C$35-('SA Apr 2022'!R33+'SA Apr 2022'!P33))*'SA Apr 2022'!S33/100)),IF(AND('SA Apr 2022'!P33&gt;0,'SA Apr 2022'!R33=""&gt;0),IF(($C$34*$C$35&lt;'SA Apr 2022'!P33),(0),($C$34*$C$35-'SA Apr 2022'!P33)*'SA Apr 2022'!Q33/100),0)))</f>
        <v>0</v>
      </c>
      <c r="G47" s="50">
        <f>($C$34*$C$36)*'SA Apr 2022'!AF33/100</f>
        <v>218.86363636363637</v>
      </c>
      <c r="H47" s="51">
        <v>0</v>
      </c>
      <c r="I47" s="52">
        <f t="shared" si="27"/>
        <v>1578.4971818181821</v>
      </c>
      <c r="J47" s="109">
        <f t="shared" si="32"/>
        <v>5961.2727272727279</v>
      </c>
      <c r="K47" s="109">
        <f t="shared" si="28"/>
        <v>6313.9887272727283</v>
      </c>
      <c r="L47" s="53">
        <f t="shared" si="29"/>
        <v>6945.3876000000018</v>
      </c>
      <c r="M47" s="54">
        <f>'SA Apr 2022'!BB33</f>
        <v>18</v>
      </c>
      <c r="N47" s="54">
        <f>'SA Apr 2022'!BC33</f>
        <v>0</v>
      </c>
      <c r="O47" s="54">
        <f>'SA Apr 2022'!BD33</f>
        <v>0</v>
      </c>
      <c r="P47" s="54">
        <f>'SA Apr 2022'!BE33</f>
        <v>0</v>
      </c>
      <c r="Q47" s="110" t="str">
        <f t="shared" si="36"/>
        <v>Guaranteed off bill</v>
      </c>
      <c r="R47" s="73" t="str">
        <f t="shared" si="31"/>
        <v>Exclusive</v>
      </c>
      <c r="S47" s="111">
        <f t="shared" si="34"/>
        <v>5177.4707563636375</v>
      </c>
      <c r="T47" s="112">
        <f t="shared" si="35"/>
        <v>5177.4707563636375</v>
      </c>
      <c r="U47" s="97">
        <f t="shared" si="33"/>
        <v>5695.2178320000021</v>
      </c>
      <c r="V47" s="98">
        <f t="shared" si="33"/>
        <v>5695.2178320000021</v>
      </c>
      <c r="W47" s="55">
        <f>'SA Apr 2022'!BL33</f>
        <v>0</v>
      </c>
      <c r="X47" s="56">
        <f>'SA Apr 2022'!BM33</f>
        <v>0</v>
      </c>
      <c r="Y47" s="332"/>
      <c r="Z47" s="332"/>
      <c r="AA47" s="332"/>
      <c r="AB47" s="332"/>
      <c r="AC47" s="332"/>
      <c r="AD47" s="332"/>
      <c r="AE47" s="332"/>
      <c r="AF47" s="332"/>
      <c r="AG47" s="332"/>
      <c r="AH47" s="332"/>
      <c r="AI47" s="332"/>
      <c r="AJ47" s="332"/>
      <c r="AK47" s="332"/>
      <c r="AL47" s="332"/>
      <c r="AM47" s="332"/>
      <c r="AN47" s="332"/>
      <c r="AO47" s="332"/>
      <c r="AP47" s="332"/>
      <c r="AQ47" s="332"/>
      <c r="AR47" s="332"/>
    </row>
    <row r="48" spans="1:44" ht="14" x14ac:dyDescent="0.15">
      <c r="A48" s="70" t="str">
        <f>'SA Apr 2022'!K34</f>
        <v>Blue NRG</v>
      </c>
      <c r="B48" s="49" t="str">
        <f>'SA Apr 2022'!L34</f>
        <v>Blue Business Lightning</v>
      </c>
      <c r="C48" s="46">
        <f>IF('SA Apr 2022'!BP34=0,91*'SA Apr 2022'!M34/100,(91*'SA Apr 2022'!M34/100)+'SA Apr 2022'!BP34/4)</f>
        <v>90.379545454545436</v>
      </c>
      <c r="D48" s="46">
        <f>IF('SA Apr 2022'!O34="",$C$34*$C$35*'SA Apr 2022'!N34/100,IF($C$34*$C$35&gt;='SA Apr 2022'!P34,('SA Apr 2022'!P34*'SA Apr 2022'!N34/100),($C$34*$C$35*'SA Apr 2022'!N34/100)))</f>
        <v>913.81818181818176</v>
      </c>
      <c r="E48" s="46">
        <f>IF(AND('SA Apr 2022'!P34&gt;0,'SA Apr 2022'!R34&gt;0),IF($C$34*$C$35&lt;'SA Apr 2022'!P34,0,IF($C$34*$C$35&lt;=('SA Apr 2022'!R34+'SA Apr 2022'!P34),(($C$34*$C$35-'SA Apr 2022'!P34)*'SA Apr 2022'!Q34/100),(('SA Apr 2022'!R34)*'SA Apr 2022'!Q34/100))),0)</f>
        <v>0</v>
      </c>
      <c r="F48" s="46">
        <f>IF(AND('SA Apr 2022'!R34&gt;0,'SA Apr 2022'!T34&gt;0),IF(($C$34*$C$35&lt;'SA Apr 2022'!T34),(0),($C$34*$C$35-'SA Apr 2022'!T34)*'SA Apr 2022'!U34/100),IF(AND('SA Apr 2022'!R34&gt;0,'SA Apr 2022'!T34=""),IF(($C$34*$C$35&lt;'SA Apr 2022'!R34+'SA Apr 2022'!P34),(0),(($C$34*$C$35-('SA Apr 2022'!R34+'SA Apr 2022'!P34))*'SA Apr 2022'!S34/100)),IF(AND('SA Apr 2022'!P34&gt;0,'SA Apr 2022'!R34=""&gt;0),IF(($C$34*$C$35&lt;'SA Apr 2022'!P34),(0),($C$34*$C$35-'SA Apr 2022'!P34)*'SA Apr 2022'!Q34/100),0)))</f>
        <v>0</v>
      </c>
      <c r="G48" s="50">
        <f>($C$34*$C$36)*'SA Apr 2022'!AF34/100</f>
        <v>200.31818181818181</v>
      </c>
      <c r="H48" s="51">
        <v>0</v>
      </c>
      <c r="I48" s="52">
        <f t="shared" si="27"/>
        <v>1204.515909090909</v>
      </c>
      <c r="J48" s="109">
        <f t="shared" si="32"/>
        <v>4456.545454545454</v>
      </c>
      <c r="K48" s="109">
        <f t="shared" si="28"/>
        <v>4818.0636363636359</v>
      </c>
      <c r="L48" s="53">
        <f t="shared" si="29"/>
        <v>5299.87</v>
      </c>
      <c r="M48" s="54">
        <f>'SA Apr 2022'!BB34</f>
        <v>0</v>
      </c>
      <c r="N48" s="54">
        <f>'SA Apr 2022'!BC34</f>
        <v>0</v>
      </c>
      <c r="O48" s="54">
        <f>'SA Apr 2022'!BD34</f>
        <v>0</v>
      </c>
      <c r="P48" s="54">
        <f>'SA Apr 2022'!BE34</f>
        <v>0</v>
      </c>
      <c r="Q48" s="110" t="str">
        <f t="shared" si="36"/>
        <v>No discount</v>
      </c>
      <c r="R48" s="73" t="str">
        <f t="shared" si="31"/>
        <v>Exclusive</v>
      </c>
      <c r="S48" s="111">
        <f t="shared" si="34"/>
        <v>4818.0636363636359</v>
      </c>
      <c r="T48" s="112">
        <f t="shared" si="35"/>
        <v>4818.0636363636359</v>
      </c>
      <c r="U48" s="97">
        <f t="shared" si="33"/>
        <v>5299.87</v>
      </c>
      <c r="V48" s="98">
        <f t="shared" si="33"/>
        <v>5299.87</v>
      </c>
      <c r="W48" s="55">
        <f>'SA Apr 2022'!BL34</f>
        <v>0</v>
      </c>
      <c r="X48" s="56">
        <f>'SA Apr 2022'!BM34</f>
        <v>0</v>
      </c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337"/>
      <c r="AN48" s="337"/>
      <c r="AO48" s="337"/>
      <c r="AP48" s="337"/>
      <c r="AQ48" s="337"/>
      <c r="AR48" s="337"/>
    </row>
    <row r="49" spans="1:44" ht="14" x14ac:dyDescent="0.15">
      <c r="A49" s="70" t="str">
        <f>'SA Apr 2022'!K35</f>
        <v>Powershop</v>
      </c>
      <c r="B49" s="49" t="str">
        <f>'SA Apr 2022'!L35</f>
        <v>100% Carbon Neutral</v>
      </c>
      <c r="C49" s="46">
        <f>IF('SA Apr 2022'!BP35=0,91*'SA Apr 2022'!M35/100,(91*'SA Apr 2022'!M35/100)+'SA Apr 2022'!BP35/4)</f>
        <v>104.64999999999998</v>
      </c>
      <c r="D49" s="46">
        <f>IF('SA Apr 2022'!O35="",$C$34*$C$35*'SA Apr 2022'!N35/100,IF($C$34*$C$35&gt;='SA Apr 2022'!P35,('SA Apr 2022'!P35*'SA Apr 2022'!N35/100),($C$34*$C$35*'SA Apr 2022'!N35/100)))</f>
        <v>1046.5</v>
      </c>
      <c r="E49" s="46">
        <f>IF(AND('SA Apr 2022'!P35&gt;0,'SA Apr 2022'!R35&gt;0),IF($C$34*$C$35&lt;'SA Apr 2022'!P35,0,IF($C$34*$C$35&lt;=('SA Apr 2022'!R35+'SA Apr 2022'!P35),(($C$34*$C$35-'SA Apr 2022'!P35)*'SA Apr 2022'!Q35/100),(('SA Apr 2022'!R35)*'SA Apr 2022'!Q35/100))),0)</f>
        <v>0</v>
      </c>
      <c r="F49" s="46">
        <f>IF(AND('SA Apr 2022'!R35&gt;0,'SA Apr 2022'!T35&gt;0),IF(($C$34*$C$35&lt;'SA Apr 2022'!T35),(0),($C$34*$C$35-'SA Apr 2022'!T35)*'SA Apr 2022'!U35/100),IF(AND('SA Apr 2022'!R35&gt;0,'SA Apr 2022'!T35=""),IF(($C$34*$C$35&lt;'SA Apr 2022'!R35+'SA Apr 2022'!P35),(0),(($C$34*$C$35-('SA Apr 2022'!R35+'SA Apr 2022'!P35))*'SA Apr 2022'!S35/100)),IF(AND('SA Apr 2022'!P35&gt;0,'SA Apr 2022'!R35=""&gt;0),IF(($C$34*$C$35&lt;'SA Apr 2022'!P35),(0),($C$34*$C$35-'SA Apr 2022'!P35)*'SA Apr 2022'!Q35/100),0)))</f>
        <v>0</v>
      </c>
      <c r="G49" s="50">
        <f>($C$34*$C$36)*'SA Apr 2022'!AF35/100</f>
        <v>232.5</v>
      </c>
      <c r="H49" s="51">
        <v>0</v>
      </c>
      <c r="I49" s="52">
        <f t="shared" si="27"/>
        <v>1383.65</v>
      </c>
      <c r="J49" s="109">
        <f t="shared" si="32"/>
        <v>5116</v>
      </c>
      <c r="K49" s="109">
        <f t="shared" si="28"/>
        <v>5534.6</v>
      </c>
      <c r="L49" s="53">
        <f t="shared" si="29"/>
        <v>6088.0600000000013</v>
      </c>
      <c r="M49" s="54">
        <f>'SA Apr 2022'!BB35</f>
        <v>0</v>
      </c>
      <c r="N49" s="54">
        <f>'SA Apr 2022'!BC35</f>
        <v>0</v>
      </c>
      <c r="O49" s="54">
        <f>'SA Apr 2022'!BD35</f>
        <v>0</v>
      </c>
      <c r="P49" s="54">
        <f>'SA Apr 2022'!BE35</f>
        <v>0</v>
      </c>
      <c r="Q49" s="110" t="str">
        <f t="shared" si="36"/>
        <v>No discount</v>
      </c>
      <c r="R49" s="73" t="str">
        <f t="shared" si="31"/>
        <v>Inclusive</v>
      </c>
      <c r="S49" s="111">
        <f t="shared" si="34"/>
        <v>5534.6</v>
      </c>
      <c r="T49" s="112">
        <f t="shared" si="35"/>
        <v>5534.6</v>
      </c>
      <c r="U49" s="97">
        <f t="shared" si="33"/>
        <v>6088.0600000000013</v>
      </c>
      <c r="V49" s="98">
        <f t="shared" si="33"/>
        <v>6088.0600000000013</v>
      </c>
      <c r="W49" s="55">
        <f>'SA Apr 2022'!BL35</f>
        <v>0</v>
      </c>
      <c r="X49" s="56">
        <f>'SA Apr 2022'!BM35</f>
        <v>0</v>
      </c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</row>
    <row r="50" spans="1:44" ht="14" x14ac:dyDescent="0.15">
      <c r="A50" s="70" t="str">
        <f>'SA Apr 2022'!K36</f>
        <v>Powerclub</v>
      </c>
      <c r="B50" s="49" t="str">
        <f>'SA Apr 2022'!L36</f>
        <v>Powerbank Bis</v>
      </c>
      <c r="C50" s="46">
        <f>IF('SA Apr 2022'!BP36=0,91*'SA Apr 2022'!M36/100,(91*'SA Apr 2022'!M36/100)+'SA Apr 2022'!BP36/4)</f>
        <v>100.16227272727271</v>
      </c>
      <c r="D50" s="46">
        <f>IF('SA Apr 2022'!O36="",$C$34*$C$35*'SA Apr 2022'!N36/100,IF($C$34*$C$35&gt;='SA Apr 2022'!P36,('SA Apr 2022'!P36*'SA Apr 2022'!N36/100),($C$34*$C$35*'SA Apr 2022'!N36/100)))</f>
        <v>849.22727272727263</v>
      </c>
      <c r="E50" s="46">
        <f>IF(AND('SA Apr 2022'!P36&gt;0,'SA Apr 2022'!R36&gt;0),IF($C$34*$C$35&lt;'SA Apr 2022'!P36,0,IF($C$34*$C$35&lt;=('SA Apr 2022'!R36+'SA Apr 2022'!P36),(($C$34*$C$35-'SA Apr 2022'!P36)*'SA Apr 2022'!Q36/100),(('SA Apr 2022'!R36)*'SA Apr 2022'!Q36/100))),0)</f>
        <v>0</v>
      </c>
      <c r="F50" s="46">
        <f>IF(AND('SA Apr 2022'!R36&gt;0,'SA Apr 2022'!T36&gt;0),IF(($C$34*$C$35&lt;'SA Apr 2022'!T36),(0),($C$34*$C$35-'SA Apr 2022'!T36)*'SA Apr 2022'!U36/100),IF(AND('SA Apr 2022'!R36&gt;0,'SA Apr 2022'!T36=""),IF(($C$34*$C$35&lt;'SA Apr 2022'!R36+'SA Apr 2022'!P36),(0),(($C$34*$C$35-('SA Apr 2022'!R36+'SA Apr 2022'!P36))*'SA Apr 2022'!S36/100)),IF(AND('SA Apr 2022'!P36&gt;0,'SA Apr 2022'!R36=""&gt;0),IF(($C$34*$C$35&lt;'SA Apr 2022'!P36),(0),($C$34*$C$35-'SA Apr 2022'!P36)*'SA Apr 2022'!Q36/100),0)))</f>
        <v>0</v>
      </c>
      <c r="G50" s="50">
        <f>($C$34*$C$36)*'SA Apr 2022'!AF36/100</f>
        <v>240.1363636363636</v>
      </c>
      <c r="H50" s="51">
        <v>0</v>
      </c>
      <c r="I50" s="52">
        <f t="shared" si="27"/>
        <v>1189.525909090909</v>
      </c>
      <c r="J50" s="109">
        <f t="shared" si="32"/>
        <v>4357.454545454545</v>
      </c>
      <c r="K50" s="109">
        <f t="shared" si="28"/>
        <v>4758.1036363636358</v>
      </c>
      <c r="L50" s="53">
        <f t="shared" si="29"/>
        <v>5233.9139999999998</v>
      </c>
      <c r="M50" s="54">
        <f>'SA Apr 2022'!BB36</f>
        <v>0</v>
      </c>
      <c r="N50" s="54">
        <f>'SA Apr 2022'!BC36</f>
        <v>0</v>
      </c>
      <c r="O50" s="54">
        <f>'SA Apr 2022'!BD36</f>
        <v>0</v>
      </c>
      <c r="P50" s="54">
        <f>'SA Apr 2022'!BE36</f>
        <v>0</v>
      </c>
      <c r="Q50" s="110" t="str">
        <f t="shared" si="36"/>
        <v>No discount</v>
      </c>
      <c r="R50" s="73" t="str">
        <f t="shared" si="31"/>
        <v>Exclusive</v>
      </c>
      <c r="S50" s="111">
        <f t="shared" si="34"/>
        <v>4758.1036363636358</v>
      </c>
      <c r="T50" s="112">
        <f t="shared" si="35"/>
        <v>4758.1036363636358</v>
      </c>
      <c r="U50" s="97">
        <f t="shared" si="33"/>
        <v>5233.9139999999998</v>
      </c>
      <c r="V50" s="98">
        <f t="shared" si="33"/>
        <v>5233.9139999999998</v>
      </c>
      <c r="W50" s="55">
        <f>'SA Apr 2022'!BL36</f>
        <v>0</v>
      </c>
      <c r="X50" s="56">
        <f>'SA Apr 2022'!BM36</f>
        <v>0</v>
      </c>
      <c r="Y50" s="332"/>
      <c r="Z50" s="332"/>
      <c r="AA50" s="332"/>
      <c r="AB50" s="332"/>
      <c r="AC50" s="332"/>
      <c r="AD50" s="332"/>
      <c r="AE50" s="332"/>
      <c r="AF50" s="332"/>
      <c r="AG50" s="332"/>
      <c r="AH50" s="332"/>
      <c r="AI50" s="332"/>
      <c r="AJ50" s="332"/>
      <c r="AK50" s="332"/>
      <c r="AL50" s="332"/>
      <c r="AM50" s="332"/>
      <c r="AN50" s="332"/>
      <c r="AO50" s="332"/>
      <c r="AP50" s="332"/>
      <c r="AQ50" s="332"/>
      <c r="AR50" s="332"/>
    </row>
    <row r="51" spans="1:44" ht="14" x14ac:dyDescent="0.15">
      <c r="A51" s="70" t="str">
        <f>'SA Apr 2022'!K37</f>
        <v>Powerclub</v>
      </c>
      <c r="B51" s="49" t="str">
        <f>'SA Apr 2022'!L37</f>
        <v>Powerbank Bis + Smart</v>
      </c>
      <c r="C51" s="46">
        <f>IF('SA Apr 2022'!BP37=0,91*'SA Apr 2022'!M37/100,(91*'SA Apr 2022'!M37/100)+'SA Apr 2022'!BP37/4)</f>
        <v>126.32063636363637</v>
      </c>
      <c r="D51" s="46">
        <f>IF('SA Apr 2022'!O37="",$C$34*$C$35*'SA Apr 2022'!N37/100,IF($C$34*$C$35&gt;='SA Apr 2022'!P37,('SA Apr 2022'!P37*'SA Apr 2022'!N37/100),($C$34*$C$35*'SA Apr 2022'!N37/100)))</f>
        <v>849.22727272727263</v>
      </c>
      <c r="E51" s="46">
        <f>IF(AND('SA Apr 2022'!P37&gt;0,'SA Apr 2022'!R37&gt;0),IF($C$34*$C$35&lt;'SA Apr 2022'!P37,0,IF($C$34*$C$35&lt;=('SA Apr 2022'!R37+'SA Apr 2022'!P37),(($C$34*$C$35-'SA Apr 2022'!P37)*'SA Apr 2022'!Q37/100),(('SA Apr 2022'!R37)*'SA Apr 2022'!Q37/100))),0)</f>
        <v>0</v>
      </c>
      <c r="F51" s="46">
        <f>IF(AND('SA Apr 2022'!R37&gt;0,'SA Apr 2022'!T37&gt;0),IF(($C$34*$C$35&lt;'SA Apr 2022'!T37),(0),($C$34*$C$35-'SA Apr 2022'!T37)*'SA Apr 2022'!U37/100),IF(AND('SA Apr 2022'!R37&gt;0,'SA Apr 2022'!T37=""),IF(($C$34*$C$35&lt;'SA Apr 2022'!R37+'SA Apr 2022'!P37),(0),(($C$34*$C$35-('SA Apr 2022'!R37+'SA Apr 2022'!P37))*'SA Apr 2022'!S37/100)),IF(AND('SA Apr 2022'!P37&gt;0,'SA Apr 2022'!R37=""&gt;0),IF(($C$34*$C$35&lt;'SA Apr 2022'!P37),(0),($C$34*$C$35-'SA Apr 2022'!P37)*'SA Apr 2022'!Q37/100),0)))</f>
        <v>0</v>
      </c>
      <c r="G51" s="50">
        <f>($C$34*$C$36)*'SA Apr 2022'!AF37/100</f>
        <v>240.1363636363636</v>
      </c>
      <c r="H51" s="51">
        <v>0</v>
      </c>
      <c r="I51" s="52">
        <f t="shared" si="27"/>
        <v>1215.6842727272726</v>
      </c>
      <c r="J51" s="111">
        <f t="shared" si="32"/>
        <v>4357.454545454545</v>
      </c>
      <c r="K51" s="109">
        <f t="shared" si="28"/>
        <v>4862.7370909090905</v>
      </c>
      <c r="L51" s="53">
        <f t="shared" si="29"/>
        <v>5349.0108</v>
      </c>
      <c r="M51" s="54">
        <f>'SA Apr 2022'!BB37</f>
        <v>0</v>
      </c>
      <c r="N51" s="54">
        <f>'SA Apr 2022'!BC37</f>
        <v>0</v>
      </c>
      <c r="O51" s="54">
        <f>'SA Apr 2022'!BD37</f>
        <v>0</v>
      </c>
      <c r="P51" s="54">
        <f>'SA Apr 2022'!BE37</f>
        <v>0</v>
      </c>
      <c r="Q51" s="110" t="str">
        <f t="shared" si="36"/>
        <v>No discount</v>
      </c>
      <c r="R51" s="73" t="str">
        <f t="shared" si="31"/>
        <v>Exclusive</v>
      </c>
      <c r="S51" s="111">
        <f t="shared" si="34"/>
        <v>4862.7370909090905</v>
      </c>
      <c r="T51" s="112">
        <f t="shared" si="35"/>
        <v>4862.7370909090905</v>
      </c>
      <c r="U51" s="97">
        <f t="shared" si="33"/>
        <v>5349.0108</v>
      </c>
      <c r="V51" s="268">
        <f t="shared" si="33"/>
        <v>5349.0108</v>
      </c>
      <c r="W51" s="55">
        <f>'SA Apr 2022'!BL37</f>
        <v>0</v>
      </c>
      <c r="X51" s="56">
        <f>'SA Apr 2022'!BM37</f>
        <v>0</v>
      </c>
      <c r="Y51" s="332"/>
      <c r="Z51" s="332"/>
      <c r="AA51" s="332"/>
      <c r="AB51" s="332"/>
      <c r="AC51" s="332"/>
      <c r="AD51" s="332"/>
      <c r="AE51" s="332"/>
      <c r="AF51" s="332"/>
      <c r="AG51" s="332"/>
      <c r="AH51" s="332"/>
      <c r="AI51" s="332"/>
      <c r="AJ51" s="332"/>
      <c r="AK51" s="332"/>
      <c r="AL51" s="332"/>
      <c r="AM51" s="332"/>
      <c r="AN51" s="332"/>
      <c r="AO51" s="332"/>
      <c r="AP51" s="332"/>
      <c r="AQ51" s="332"/>
      <c r="AR51" s="332"/>
    </row>
    <row r="52" spans="1:44" ht="14" x14ac:dyDescent="0.15">
      <c r="A52" s="70" t="str">
        <f>'SA Apr 2022'!K38</f>
        <v>Energy Locals</v>
      </c>
      <c r="B52" s="49" t="str">
        <f>'SA Apr 2022'!L38</f>
        <v>Business Member</v>
      </c>
      <c r="C52" s="46">
        <f>IF('SA Apr 2022'!BP38=0,91*'SA Apr 2022'!M38/100,(91*'SA Apr 2022'!M38/100)+'SA Apr 2022'!BP38/4)</f>
        <v>104.59545454545454</v>
      </c>
      <c r="D52" s="46">
        <f>IF('SA Apr 2022'!O38="",$C$34*$C$35*'SA Apr 2022'!N38/100,IF($C$34*$C$35&gt;='SA Apr 2022'!P38,('SA Apr 2022'!P38*'SA Apr 2022'!N38/100),($C$34*$C$35*'SA Apr 2022'!N38/100)))</f>
        <v>906.81818181818176</v>
      </c>
      <c r="E52" s="46">
        <f>IF(AND('SA Apr 2022'!P38&gt;0,'SA Apr 2022'!R38&gt;0),IF($C$34*$C$35&lt;'SA Apr 2022'!P38,0,IF($C$34*$C$35&lt;=('SA Apr 2022'!R38+'SA Apr 2022'!P38),(($C$34*$C$35-'SA Apr 2022'!P38)*'SA Apr 2022'!Q38/100),(('SA Apr 2022'!R38)*'SA Apr 2022'!Q38/100))),0)</f>
        <v>0</v>
      </c>
      <c r="F52" s="46">
        <f>IF(AND('SA Apr 2022'!R38&gt;0,'SA Apr 2022'!T38&gt;0),IF(($C$34*$C$35&lt;'SA Apr 2022'!T38),(0),($C$34*$C$35-'SA Apr 2022'!T38)*'SA Apr 2022'!U38/100),IF(AND('SA Apr 2022'!R38&gt;0,'SA Apr 2022'!T38=""),IF(($C$34*$C$35&lt;'SA Apr 2022'!R38+'SA Apr 2022'!P38),(0),(($C$34*$C$35-('SA Apr 2022'!R38+'SA Apr 2022'!P38))*'SA Apr 2022'!S38/100)),IF(AND('SA Apr 2022'!P38&gt;0,'SA Apr 2022'!R38=""&gt;0),IF(($C$34*$C$35&lt;'SA Apr 2022'!P38),(0),($C$34*$C$35-'SA Apr 2022'!P38)*'SA Apr 2022'!Q38/100),0)))</f>
        <v>0</v>
      </c>
      <c r="G52" s="50">
        <f>($C$34*$C$36)*'SA Apr 2022'!AF38/100</f>
        <v>265.90909090909088</v>
      </c>
      <c r="H52" s="51">
        <v>0</v>
      </c>
      <c r="I52" s="52">
        <f t="shared" si="27"/>
        <v>1277.3227272727272</v>
      </c>
      <c r="J52" s="111">
        <f t="shared" si="32"/>
        <v>4690.909090909091</v>
      </c>
      <c r="K52" s="109">
        <f t="shared" si="28"/>
        <v>5109.2909090909088</v>
      </c>
      <c r="L52" s="53">
        <f t="shared" si="29"/>
        <v>5620.22</v>
      </c>
      <c r="M52" s="54">
        <f>'SA Apr 2022'!BB38</f>
        <v>0</v>
      </c>
      <c r="N52" s="54">
        <f>'SA Apr 2022'!BC38</f>
        <v>0</v>
      </c>
      <c r="O52" s="54">
        <f>'SA Apr 2022'!BD38</f>
        <v>0</v>
      </c>
      <c r="P52" s="54">
        <f>'SA Apr 2022'!BE38</f>
        <v>0</v>
      </c>
      <c r="Q52" s="110" t="str">
        <f t="shared" si="36"/>
        <v>No discount</v>
      </c>
      <c r="R52" s="73" t="str">
        <f t="shared" si="31"/>
        <v>Exclusive</v>
      </c>
      <c r="S52" s="111">
        <f t="shared" si="34"/>
        <v>5109.2909090909088</v>
      </c>
      <c r="T52" s="112">
        <f t="shared" si="35"/>
        <v>5109.2909090909088</v>
      </c>
      <c r="U52" s="97">
        <f t="shared" si="33"/>
        <v>5620.22</v>
      </c>
      <c r="V52" s="268">
        <f t="shared" si="33"/>
        <v>5620.22</v>
      </c>
      <c r="W52" s="55">
        <f>'SA Apr 2022'!BL38</f>
        <v>0</v>
      </c>
      <c r="X52" s="56">
        <f>'SA Apr 2022'!BM38</f>
        <v>0</v>
      </c>
      <c r="Y52" s="332"/>
      <c r="Z52" s="332"/>
      <c r="AA52" s="332"/>
      <c r="AB52" s="332"/>
      <c r="AC52" s="332"/>
      <c r="AD52" s="332"/>
      <c r="AE52" s="332"/>
      <c r="AF52" s="332"/>
      <c r="AG52" s="332"/>
      <c r="AH52" s="332"/>
      <c r="AI52" s="332"/>
      <c r="AJ52" s="332"/>
      <c r="AK52" s="332"/>
      <c r="AL52" s="332"/>
      <c r="AM52" s="332"/>
      <c r="AN52" s="332"/>
      <c r="AO52" s="332"/>
      <c r="AP52" s="332"/>
      <c r="AQ52" s="332"/>
      <c r="AR52" s="332"/>
    </row>
    <row r="53" spans="1:44" ht="14" x14ac:dyDescent="0.15">
      <c r="A53" s="70" t="str">
        <f>'SA Apr 2022'!K39</f>
        <v>Future X Power</v>
      </c>
      <c r="B53" s="49" t="str">
        <f>'SA Apr 2022'!L39</f>
        <v>Market Offer</v>
      </c>
      <c r="C53" s="46">
        <f>IF('SA Apr 2022'!BP39=0,91*'SA Apr 2022'!M39/100,(91*'SA Apr 2022'!M39/100)+'SA Apr 2022'!BP39/4)</f>
        <v>78.077999999999989</v>
      </c>
      <c r="D53" s="46">
        <f>IF('SA Apr 2022'!O39="",$C$34*$C$35*'SA Apr 2022'!N39/100,IF($C$34*$C$35&gt;='SA Apr 2022'!P39,('SA Apr 2022'!P39*'SA Apr 2022'!N39/100),($C$34*$C$35*'SA Apr 2022'!N39/100)))</f>
        <v>1064.6363636363637</v>
      </c>
      <c r="E53" s="46">
        <f>IF(AND('SA Apr 2022'!P39&gt;0,'SA Apr 2022'!R39&gt;0),IF($C$34*$C$35&lt;'SA Apr 2022'!P39,0,IF($C$34*$C$35&lt;=('SA Apr 2022'!R39+'SA Apr 2022'!P39),(($C$34*$C$35-'SA Apr 2022'!P39)*'SA Apr 2022'!Q39/100),(('SA Apr 2022'!R39)*'SA Apr 2022'!Q39/100))),0)</f>
        <v>0</v>
      </c>
      <c r="F53" s="46">
        <f>IF(AND('SA Apr 2022'!R39&gt;0,'SA Apr 2022'!T39&gt;0),IF(($C$34*$C$35&lt;'SA Apr 2022'!T39),(0),($C$34*$C$35-'SA Apr 2022'!T39)*'SA Apr 2022'!U39/100),IF(AND('SA Apr 2022'!R39&gt;0,'SA Apr 2022'!T39=""),IF(($C$34*$C$35&lt;'SA Apr 2022'!R39+'SA Apr 2022'!P39),(0),(($C$34*$C$35-('SA Apr 2022'!R39+'SA Apr 2022'!P39))*'SA Apr 2022'!S39/100)),IF(AND('SA Apr 2022'!P39&gt;0,'SA Apr 2022'!R39=""&gt;0),IF(($C$34*$C$35&lt;'SA Apr 2022'!P39),(0),($C$34*$C$35-'SA Apr 2022'!P39)*'SA Apr 2022'!Q39/100),0)))</f>
        <v>0</v>
      </c>
      <c r="G53" s="50">
        <f>($C$34*$C$36)*'SA Apr 2022'!AF39/100</f>
        <v>234.27272727272725</v>
      </c>
      <c r="H53" s="51">
        <v>0</v>
      </c>
      <c r="I53" s="52">
        <f t="shared" si="27"/>
        <v>1376.987090909091</v>
      </c>
      <c r="J53" s="111">
        <f t="shared" si="32"/>
        <v>5195.636363636364</v>
      </c>
      <c r="K53" s="109">
        <f t="shared" si="28"/>
        <v>5507.9483636363639</v>
      </c>
      <c r="L53" s="53">
        <f t="shared" si="29"/>
        <v>6058.7432000000008</v>
      </c>
      <c r="M53" s="54">
        <f>'SA Apr 2022'!BB39</f>
        <v>0</v>
      </c>
      <c r="N53" s="54">
        <f>'SA Apr 2022'!BC39</f>
        <v>0</v>
      </c>
      <c r="O53" s="54">
        <f>'SA Apr 2022'!BD39</f>
        <v>0</v>
      </c>
      <c r="P53" s="54">
        <f>'SA Apr 2022'!BE39</f>
        <v>0</v>
      </c>
      <c r="Q53" s="110" t="str">
        <f t="shared" si="36"/>
        <v>No discount</v>
      </c>
      <c r="R53" s="73" t="str">
        <f t="shared" si="31"/>
        <v>Exclusive</v>
      </c>
      <c r="S53" s="111">
        <f t="shared" si="34"/>
        <v>5507.9483636363639</v>
      </c>
      <c r="T53" s="112">
        <f t="shared" si="35"/>
        <v>5507.9483636363639</v>
      </c>
      <c r="U53" s="97">
        <f t="shared" si="33"/>
        <v>6058.7432000000008</v>
      </c>
      <c r="V53" s="268">
        <f t="shared" si="33"/>
        <v>6058.7432000000008</v>
      </c>
      <c r="W53" s="55">
        <f>'SA Apr 2022'!BL39</f>
        <v>0</v>
      </c>
      <c r="X53" s="56">
        <f>'SA Apr 2022'!BM39</f>
        <v>0</v>
      </c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</row>
    <row r="54" spans="1:44" ht="14" x14ac:dyDescent="0.15">
      <c r="A54" s="70" t="str">
        <f>'SA Apr 2022'!K40</f>
        <v>Discover Energy</v>
      </c>
      <c r="B54" s="49" t="str">
        <f>'SA Apr 2022'!L40</f>
        <v>Smart Saver</v>
      </c>
      <c r="C54" s="46">
        <f>IF('SA Apr 2022'!BP40=0,91*'SA Apr 2022'!M40/100,(91*'SA Apr 2022'!M40/100)+'SA Apr 2022'!BP40/4)</f>
        <v>64.609999999999985</v>
      </c>
      <c r="D54" s="46">
        <f>IF('SA Apr 2022'!O40="",$C$34*$C$35*'SA Apr 2022'!N40/100,IF($C$34*$C$35&gt;='SA Apr 2022'!P40,('SA Apr 2022'!P40*'SA Apr 2022'!N40/100),($C$34*$C$35*'SA Apr 2022'!N40/100)))</f>
        <v>1231.9999999999998</v>
      </c>
      <c r="E54" s="46">
        <f>IF(AND('SA Apr 2022'!P40&gt;0,'SA Apr 2022'!R40&gt;0),IF($C$34*$C$35&lt;'SA Apr 2022'!P40,0,IF($C$34*$C$35&lt;=('SA Apr 2022'!R40+'SA Apr 2022'!P40),(($C$34*$C$35-'SA Apr 2022'!P40)*'SA Apr 2022'!Q40/100),(('SA Apr 2022'!R40)*'SA Apr 2022'!Q40/100))),0)</f>
        <v>0</v>
      </c>
      <c r="F54" s="46">
        <f>IF(AND('SA Apr 2022'!R40&gt;0,'SA Apr 2022'!T40&gt;0),IF(($C$34*$C$35&lt;'SA Apr 2022'!T40),(0),($C$34*$C$35-'SA Apr 2022'!T40)*'SA Apr 2022'!U40/100),IF(AND('SA Apr 2022'!R40&gt;0,'SA Apr 2022'!T40=""),IF(($C$34*$C$35&lt;'SA Apr 2022'!R40+'SA Apr 2022'!P40),(0),(($C$34*$C$35-('SA Apr 2022'!R40+'SA Apr 2022'!P40))*'SA Apr 2022'!S40/100)),IF(AND('SA Apr 2022'!P40&gt;0,'SA Apr 2022'!R40=""&gt;0),IF(($C$34*$C$35&lt;'SA Apr 2022'!P40),(0),($C$34*$C$35-'SA Apr 2022'!P40)*'SA Apr 2022'!Q40/100),0)))</f>
        <v>0</v>
      </c>
      <c r="G54" s="50">
        <f>($C$34*$C$36)*'SA Apr 2022'!AF40/100</f>
        <v>240</v>
      </c>
      <c r="H54" s="51">
        <v>1</v>
      </c>
      <c r="I54" s="52">
        <f t="shared" si="27"/>
        <v>1536.6099999999997</v>
      </c>
      <c r="J54" s="111">
        <f t="shared" si="32"/>
        <v>5887.9999999999991</v>
      </c>
      <c r="K54" s="109">
        <f t="shared" si="28"/>
        <v>6146.4399999999987</v>
      </c>
      <c r="L54" s="53">
        <f t="shared" si="29"/>
        <v>6761.0839999999989</v>
      </c>
      <c r="M54" s="54">
        <f>'SA Apr 2022'!BB40</f>
        <v>0</v>
      </c>
      <c r="N54" s="54">
        <f>'SA Apr 2022'!BC40</f>
        <v>15</v>
      </c>
      <c r="O54" s="54">
        <f>'SA Apr 2022'!BD40</f>
        <v>0</v>
      </c>
      <c r="P54" s="54">
        <f>'SA Apr 2022'!BE40</f>
        <v>0</v>
      </c>
      <c r="Q54" s="110" t="str">
        <f t="shared" si="36"/>
        <v>Guaranteed off usage</v>
      </c>
      <c r="R54" s="73" t="str">
        <f t="shared" si="31"/>
        <v>Exclusive</v>
      </c>
      <c r="S54" s="111">
        <f t="shared" si="34"/>
        <v>5263.2399999999989</v>
      </c>
      <c r="T54" s="112">
        <f t="shared" si="35"/>
        <v>5263.2399999999989</v>
      </c>
      <c r="U54" s="97">
        <f t="shared" si="33"/>
        <v>5789.5639999999994</v>
      </c>
      <c r="V54" s="268">
        <f t="shared" si="33"/>
        <v>5789.5639999999994</v>
      </c>
      <c r="W54" s="55">
        <f>'SA Apr 2022'!BL40</f>
        <v>0</v>
      </c>
      <c r="X54" s="56">
        <f>'SA Apr 2022'!BM40</f>
        <v>0</v>
      </c>
      <c r="Y54" s="332"/>
      <c r="Z54" s="332"/>
      <c r="AA54" s="332"/>
      <c r="AB54" s="332"/>
      <c r="AC54" s="332"/>
      <c r="AD54" s="332"/>
      <c r="AE54" s="332"/>
      <c r="AF54" s="332"/>
      <c r="AG54" s="332"/>
      <c r="AH54" s="332"/>
      <c r="AI54" s="332"/>
      <c r="AJ54" s="332"/>
      <c r="AK54" s="332"/>
      <c r="AL54" s="332"/>
      <c r="AM54" s="332"/>
      <c r="AN54" s="332"/>
      <c r="AO54" s="332"/>
      <c r="AP54" s="332"/>
      <c r="AQ54" s="332"/>
      <c r="AR54" s="332"/>
    </row>
    <row r="55" spans="1:44" ht="14" x14ac:dyDescent="0.15">
      <c r="A55" s="70" t="str">
        <f>'SA Apr 2022'!K41</f>
        <v>ReAmped Energy</v>
      </c>
      <c r="B55" s="49" t="str">
        <f>'SA Apr 2022'!L41</f>
        <v>Business</v>
      </c>
      <c r="C55" s="46">
        <f>IF('SA Apr 2022'!BP41=0,91*'SA Apr 2022'!M41/100,(91*'SA Apr 2022'!M41/100)+'SA Apr 2022'!BP41/4)</f>
        <v>66.521000000000001</v>
      </c>
      <c r="D55" s="46">
        <f>IF('SA Apr 2022'!O41="",$C$34*$C$35*'SA Apr 2022'!N41/100,IF($C$34*$C$35&gt;='SA Apr 2022'!P41,('SA Apr 2022'!P41*'SA Apr 2022'!N41/100),($C$34*$C$35*'SA Apr 2022'!N41/100)))</f>
        <v>964.40909090909076</v>
      </c>
      <c r="E55" s="46">
        <f>IF(AND('SA Apr 2022'!P41&gt;0,'SA Apr 2022'!R41&gt;0),IF($C$34*$C$35&lt;'SA Apr 2022'!P41,0,IF($C$34*$C$35&lt;=('SA Apr 2022'!R41+'SA Apr 2022'!P41),(($C$34*$C$35-'SA Apr 2022'!P41)*'SA Apr 2022'!Q41/100),(('SA Apr 2022'!R41)*'SA Apr 2022'!Q41/100))),0)</f>
        <v>0</v>
      </c>
      <c r="F55" s="46">
        <f>IF(AND('SA Apr 2022'!R41&gt;0,'SA Apr 2022'!T41&gt;0),IF(($C$34*$C$35&lt;'SA Apr 2022'!T41),(0),($C$34*$C$35-'SA Apr 2022'!T41)*'SA Apr 2022'!U41/100),IF(AND('SA Apr 2022'!R41&gt;0,'SA Apr 2022'!T41=""),IF(($C$34*$C$35&lt;'SA Apr 2022'!R41+'SA Apr 2022'!P41),(0),(($C$34*$C$35-('SA Apr 2022'!R41+'SA Apr 2022'!P41))*'SA Apr 2022'!S41/100)),IF(AND('SA Apr 2022'!P41&gt;0,'SA Apr 2022'!R41=""&gt;0),IF(($C$34*$C$35&lt;'SA Apr 2022'!P41),(0),($C$34*$C$35-'SA Apr 2022'!P41)*'SA Apr 2022'!Q41/100),0)))</f>
        <v>0</v>
      </c>
      <c r="G55" s="50">
        <f>($C$34*$C$36)*'SA Apr 2022'!AF41/100</f>
        <v>182.04545454545453</v>
      </c>
      <c r="H55" s="51">
        <v>2</v>
      </c>
      <c r="I55" s="52">
        <f t="shared" si="27"/>
        <v>1212.9755454545452</v>
      </c>
      <c r="J55" s="111">
        <f t="shared" si="32"/>
        <v>4585.8181818181811</v>
      </c>
      <c r="K55" s="109">
        <f t="shared" si="28"/>
        <v>4851.9021818181809</v>
      </c>
      <c r="L55" s="53">
        <f t="shared" si="29"/>
        <v>5337.0923999999995</v>
      </c>
      <c r="M55" s="54">
        <f>'SA Apr 2022'!BB41</f>
        <v>0</v>
      </c>
      <c r="N55" s="54">
        <f>'SA Apr 2022'!BC41</f>
        <v>0</v>
      </c>
      <c r="O55" s="54">
        <f>'SA Apr 2022'!BD41</f>
        <v>0</v>
      </c>
      <c r="P55" s="54">
        <f>'SA Apr 2022'!BE41</f>
        <v>0</v>
      </c>
      <c r="Q55" s="110" t="str">
        <f t="shared" si="36"/>
        <v>No discount</v>
      </c>
      <c r="R55" s="73" t="str">
        <f t="shared" si="31"/>
        <v>Exclusive</v>
      </c>
      <c r="S55" s="111">
        <f t="shared" si="34"/>
        <v>4851.9021818181809</v>
      </c>
      <c r="T55" s="112">
        <f t="shared" si="35"/>
        <v>4851.9021818181809</v>
      </c>
      <c r="U55" s="97">
        <f t="shared" si="33"/>
        <v>5337.0923999999995</v>
      </c>
      <c r="V55" s="268">
        <f t="shared" si="33"/>
        <v>5337.0923999999995</v>
      </c>
      <c r="W55" s="55">
        <f>'SA Apr 2022'!BL41</f>
        <v>0</v>
      </c>
      <c r="X55" s="56">
        <f>'SA Apr 2022'!BM41</f>
        <v>0</v>
      </c>
      <c r="Y55" s="332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</row>
    <row r="56" spans="1:44" ht="14" x14ac:dyDescent="0.15">
      <c r="A56" s="70" t="str">
        <f>'SA Apr 2022'!K42</f>
        <v>CovaU</v>
      </c>
      <c r="B56" s="49" t="str">
        <f>'SA Apr 2022'!L42</f>
        <v>Freedom</v>
      </c>
      <c r="C56" s="46">
        <f>IF('SA Apr 2022'!BP42=0,91*'SA Apr 2022'!M42/100,(91*'SA Apr 2022'!M42/100)+'SA Apr 2022'!BP42/4)</f>
        <v>68.25</v>
      </c>
      <c r="D56" s="46">
        <f>IF('SA Apr 2022'!O42="",$C$34*$C$35*'SA Apr 2022'!N42/100,IF($C$34*$C$35&gt;='SA Apr 2022'!P42,('SA Apr 2022'!P42*'SA Apr 2022'!N42/100),($C$34*$C$35*'SA Apr 2022'!N42/100)))</f>
        <v>1080.8636363636363</v>
      </c>
      <c r="E56" s="46">
        <f>IF(AND('SA Apr 2022'!P42&gt;0,'SA Apr 2022'!R42&gt;0),IF($C$34*$C$35&lt;'SA Apr 2022'!P42,0,IF($C$34*$C$35&lt;=('SA Apr 2022'!R42+'SA Apr 2022'!P42),(($C$34*$C$35-'SA Apr 2022'!P42)*'SA Apr 2022'!Q42/100),(('SA Apr 2022'!R42)*'SA Apr 2022'!Q42/100))),0)</f>
        <v>0</v>
      </c>
      <c r="F56" s="46">
        <f>IF(AND('SA Apr 2022'!R42&gt;0,'SA Apr 2022'!T42&gt;0),IF(($C$34*$C$35&lt;'SA Apr 2022'!T42),(0),($C$34*$C$35-'SA Apr 2022'!T42)*'SA Apr 2022'!U42/100),IF(AND('SA Apr 2022'!R42&gt;0,'SA Apr 2022'!T42=""),IF(($C$34*$C$35&lt;'SA Apr 2022'!R42+'SA Apr 2022'!P42),(0),(($C$34*$C$35-('SA Apr 2022'!R42+'SA Apr 2022'!P42))*'SA Apr 2022'!S42/100)),IF(AND('SA Apr 2022'!P42&gt;0,'SA Apr 2022'!R42=""&gt;0),IF(($C$34*$C$35&lt;'SA Apr 2022'!P42),(0),($C$34*$C$35-'SA Apr 2022'!P42)*'SA Apr 2022'!Q42/100),0)))</f>
        <v>0</v>
      </c>
      <c r="G56" s="50">
        <f>($C$34*$C$36)*'SA Apr 2022'!AF42/100</f>
        <v>227.99999999999997</v>
      </c>
      <c r="H56" s="51">
        <v>3</v>
      </c>
      <c r="I56" s="52">
        <f t="shared" si="27"/>
        <v>1377.1136363636363</v>
      </c>
      <c r="J56" s="111">
        <f t="shared" si="32"/>
        <v>5235.454545454545</v>
      </c>
      <c r="K56" s="109">
        <f t="shared" si="28"/>
        <v>5508.454545454545</v>
      </c>
      <c r="L56" s="53">
        <f t="shared" si="29"/>
        <v>6059.3</v>
      </c>
      <c r="M56" s="54">
        <f>'SA Apr 2022'!BB42</f>
        <v>0</v>
      </c>
      <c r="N56" s="54">
        <f>'SA Apr 2022'!BC42</f>
        <v>5</v>
      </c>
      <c r="O56" s="54">
        <f>'SA Apr 2022'!BD42</f>
        <v>0</v>
      </c>
      <c r="P56" s="54">
        <f>'SA Apr 2022'!BE42</f>
        <v>0</v>
      </c>
      <c r="Q56" s="110" t="str">
        <f t="shared" ref="Q56:Q58" si="37">IF(SUM(M56:P56)=0,"No discount",IF(M56&gt;0,"Guaranteed off bill",IF(N56&gt;0,"Guaranteed off usage",IF(O56&gt;0,"Pay-on-time off bill","Pay-on-time off usage"))))</f>
        <v>Guaranteed off usage</v>
      </c>
      <c r="R56" s="73" t="str">
        <f t="shared" si="31"/>
        <v>Exclusive</v>
      </c>
      <c r="S56" s="111">
        <f t="shared" si="34"/>
        <v>5246.681818181818</v>
      </c>
      <c r="T56" s="112">
        <f t="shared" si="35"/>
        <v>5246.681818181818</v>
      </c>
      <c r="U56" s="97">
        <f t="shared" ref="U56:V58" si="38">S56*1.1</f>
        <v>5771.35</v>
      </c>
      <c r="V56" s="268">
        <f t="shared" si="38"/>
        <v>5771.35</v>
      </c>
      <c r="W56" s="55">
        <f>'SA Apr 2022'!BL42</f>
        <v>0</v>
      </c>
      <c r="X56" s="56">
        <f>'SA Apr 2022'!BM42</f>
        <v>0</v>
      </c>
      <c r="Y56" s="332"/>
      <c r="Z56" s="332"/>
      <c r="AA56" s="332"/>
      <c r="AB56" s="332"/>
      <c r="AC56" s="332"/>
      <c r="AD56" s="332"/>
      <c r="AE56" s="332"/>
      <c r="AF56" s="332"/>
      <c r="AG56" s="332"/>
      <c r="AH56" s="332"/>
      <c r="AI56" s="332"/>
      <c r="AJ56" s="332"/>
      <c r="AK56" s="332"/>
      <c r="AL56" s="332"/>
      <c r="AM56" s="332"/>
      <c r="AN56" s="332"/>
      <c r="AO56" s="332"/>
      <c r="AP56" s="332"/>
      <c r="AQ56" s="332"/>
      <c r="AR56" s="332"/>
    </row>
    <row r="57" spans="1:44" ht="14" x14ac:dyDescent="0.15">
      <c r="A57" s="70" t="str">
        <f>'SA Apr 2022'!K43</f>
        <v>1st Energy</v>
      </c>
      <c r="B57" s="49" t="str">
        <f>'SA Apr 2022'!L43</f>
        <v>1st Saver Plus</v>
      </c>
      <c r="C57" s="46">
        <f>IF('SA Apr 2022'!BP43=0,91*'SA Apr 2022'!M43/100,(91*'SA Apr 2022'!M43/100)+'SA Apr 2022'!BP43/4)</f>
        <v>80.038636363636357</v>
      </c>
      <c r="D57" s="46">
        <f>IF('SA Apr 2022'!O43="",$C$34*$C$35*'SA Apr 2022'!N43/100,IF($C$34*$C$35&gt;='SA Apr 2022'!P43,('SA Apr 2022'!P43*'SA Apr 2022'!N43/100),($C$34*$C$35*'SA Apr 2022'!N43/100)))</f>
        <v>1220.8636363636363</v>
      </c>
      <c r="E57" s="46">
        <f>IF(AND('SA Apr 2022'!P43&gt;0,'SA Apr 2022'!R43&gt;0),IF($C$34*$C$35&lt;'SA Apr 2022'!P43,0,IF($C$34*$C$35&lt;=('SA Apr 2022'!R43+'SA Apr 2022'!P43),(($C$34*$C$35-'SA Apr 2022'!P43)*'SA Apr 2022'!Q43/100),(('SA Apr 2022'!R43)*'SA Apr 2022'!Q43/100))),0)</f>
        <v>0</v>
      </c>
      <c r="F57" s="46">
        <f>IF(AND('SA Apr 2022'!R43&gt;0,'SA Apr 2022'!T43&gt;0),IF(($C$34*$C$35&lt;'SA Apr 2022'!T43),(0),($C$34*$C$35-'SA Apr 2022'!T43)*'SA Apr 2022'!U43/100),IF(AND('SA Apr 2022'!R43&gt;0,'SA Apr 2022'!T43=""),IF(($C$34*$C$35&lt;'SA Apr 2022'!R43+'SA Apr 2022'!P43),(0),(($C$34*$C$35-('SA Apr 2022'!R43+'SA Apr 2022'!P43))*'SA Apr 2022'!S43/100)),IF(AND('SA Apr 2022'!P43&gt;0,'SA Apr 2022'!R43=""&gt;0),IF(($C$34*$C$35&lt;'SA Apr 2022'!P43),(0),($C$34*$C$35-'SA Apr 2022'!P43)*'SA Apr 2022'!Q43/100),0)))</f>
        <v>0</v>
      </c>
      <c r="G57" s="50">
        <f>($C$34*$C$36)*'SA Apr 2022'!AF43/100</f>
        <v>217.22727272727272</v>
      </c>
      <c r="H57" s="51">
        <v>4</v>
      </c>
      <c r="I57" s="52">
        <f t="shared" si="27"/>
        <v>1518.1295454545455</v>
      </c>
      <c r="J57" s="111">
        <f t="shared" si="32"/>
        <v>5752.363636363636</v>
      </c>
      <c r="K57" s="109">
        <f t="shared" si="28"/>
        <v>6072.5181818181818</v>
      </c>
      <c r="L57" s="53">
        <f t="shared" si="29"/>
        <v>6679.77</v>
      </c>
      <c r="M57" s="54">
        <f>'SA Apr 2022'!BB43</f>
        <v>4</v>
      </c>
      <c r="N57" s="54">
        <f>'SA Apr 2022'!BC43</f>
        <v>0</v>
      </c>
      <c r="O57" s="54">
        <f>'SA Apr 2022'!BD43</f>
        <v>10</v>
      </c>
      <c r="P57" s="54">
        <f>'SA Apr 2022'!BE43</f>
        <v>0</v>
      </c>
      <c r="Q57" s="110" t="str">
        <f t="shared" si="37"/>
        <v>Guaranteed off bill</v>
      </c>
      <c r="R57" s="73" t="str">
        <f t="shared" si="31"/>
        <v>Exclusive</v>
      </c>
      <c r="S57" s="111">
        <f t="shared" si="34"/>
        <v>5829.6174545454542</v>
      </c>
      <c r="T57" s="112">
        <f>S57-(S57*O57/100)</f>
        <v>5246.6557090909082</v>
      </c>
      <c r="U57" s="97">
        <f t="shared" si="38"/>
        <v>6412.5792000000001</v>
      </c>
      <c r="V57" s="268">
        <f t="shared" si="38"/>
        <v>5771.3212799999992</v>
      </c>
      <c r="W57" s="55">
        <f>'SA Apr 2022'!BL43</f>
        <v>0</v>
      </c>
      <c r="X57" s="56">
        <f>'SA Apr 2022'!BM43</f>
        <v>0</v>
      </c>
      <c r="Y57" s="332"/>
      <c r="Z57" s="332"/>
      <c r="AA57" s="332"/>
      <c r="AB57" s="332"/>
      <c r="AC57" s="332"/>
      <c r="AD57" s="332"/>
      <c r="AE57" s="332"/>
      <c r="AF57" s="332"/>
      <c r="AG57" s="332"/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</row>
    <row r="58" spans="1:44" ht="14" x14ac:dyDescent="0.15">
      <c r="A58" s="70" t="str">
        <f>'SA Apr 2022'!K44</f>
        <v>GlowPower</v>
      </c>
      <c r="B58" s="49" t="str">
        <f>'SA Apr 2022'!L44</f>
        <v>Everyday Saver</v>
      </c>
      <c r="C58" s="46">
        <f>IF('SA Apr 2022'!BP44=0,91*'SA Apr 2022'!M44/100,(91*'SA Apr 2022'!M44/100)+'SA Apr 2022'!BP44/4)</f>
        <v>81.899999999999991</v>
      </c>
      <c r="D58" s="46">
        <f>IF('SA Apr 2022'!O44="",$C$34*$C$35*'SA Apr 2022'!N44/100,IF($C$34*$C$35&gt;='SA Apr 2022'!P44,('SA Apr 2022'!P44*'SA Apr 2022'!N44/100),($C$34*$C$35*'SA Apr 2022'!N44/100)))</f>
        <v>922.72727272727263</v>
      </c>
      <c r="E58" s="46">
        <f>IF(AND('SA Apr 2022'!P44&gt;0,'SA Apr 2022'!R44&gt;0),IF($C$34*$C$35&lt;'SA Apr 2022'!P44,0,IF($C$34*$C$35&lt;=('SA Apr 2022'!R44+'SA Apr 2022'!P44),(($C$34*$C$35-'SA Apr 2022'!P44)*'SA Apr 2022'!Q44/100),(('SA Apr 2022'!R44)*'SA Apr 2022'!Q44/100))),0)</f>
        <v>0</v>
      </c>
      <c r="F58" s="46">
        <f>IF(AND('SA Apr 2022'!R44&gt;0,'SA Apr 2022'!T44&gt;0),IF(($C$34*$C$35&lt;'SA Apr 2022'!T44),(0),($C$34*$C$35-'SA Apr 2022'!T44)*'SA Apr 2022'!U44/100),IF(AND('SA Apr 2022'!R44&gt;0,'SA Apr 2022'!T44=""),IF(($C$34*$C$35&lt;'SA Apr 2022'!R44+'SA Apr 2022'!P44),(0),(($C$34*$C$35-('SA Apr 2022'!R44+'SA Apr 2022'!P44))*'SA Apr 2022'!S44/100)),IF(AND('SA Apr 2022'!P44&gt;0,'SA Apr 2022'!R44=""&gt;0),IF(($C$34*$C$35&lt;'SA Apr 2022'!P44),(0),($C$34*$C$35-'SA Apr 2022'!P44)*'SA Apr 2022'!Q44/100),0)))</f>
        <v>0</v>
      </c>
      <c r="G58" s="50">
        <f>($C$34*$C$36)*'SA Apr 2022'!AF44/100</f>
        <v>259.09090909090907</v>
      </c>
      <c r="H58" s="51">
        <v>5</v>
      </c>
      <c r="I58" s="52">
        <f t="shared" si="27"/>
        <v>1263.7181818181816</v>
      </c>
      <c r="J58" s="111">
        <f t="shared" si="32"/>
        <v>4727.2727272727261</v>
      </c>
      <c r="K58" s="109">
        <f t="shared" si="28"/>
        <v>5054.8727272727265</v>
      </c>
      <c r="L58" s="53">
        <f t="shared" si="29"/>
        <v>5560.36</v>
      </c>
      <c r="M58" s="54">
        <f>'SA Apr 2022'!BB44</f>
        <v>0</v>
      </c>
      <c r="N58" s="54">
        <f>'SA Apr 2022'!BC44</f>
        <v>0</v>
      </c>
      <c r="O58" s="54">
        <f>'SA Apr 2022'!BD44</f>
        <v>0</v>
      </c>
      <c r="P58" s="54">
        <f>'SA Apr 2022'!BE44</f>
        <v>0</v>
      </c>
      <c r="Q58" s="110" t="str">
        <f t="shared" si="37"/>
        <v>No discount</v>
      </c>
      <c r="R58" s="73" t="str">
        <f t="shared" si="31"/>
        <v>Exclusive</v>
      </c>
      <c r="S58" s="111">
        <f t="shared" si="34"/>
        <v>5054.8727272727265</v>
      </c>
      <c r="T58" s="112">
        <f t="shared" si="35"/>
        <v>5054.8727272727265</v>
      </c>
      <c r="U58" s="97">
        <f t="shared" si="38"/>
        <v>5560.36</v>
      </c>
      <c r="V58" s="268">
        <f t="shared" si="38"/>
        <v>5560.36</v>
      </c>
      <c r="W58" s="55">
        <f>'SA Apr 2022'!BL44</f>
        <v>0</v>
      </c>
      <c r="X58" s="56">
        <f>'SA Apr 2022'!BM44</f>
        <v>0</v>
      </c>
      <c r="Y58" s="332"/>
      <c r="Z58" s="332"/>
      <c r="AA58" s="332"/>
      <c r="AB58" s="332"/>
      <c r="AC58" s="332"/>
      <c r="AD58" s="332"/>
      <c r="AE58" s="332"/>
      <c r="AF58" s="332"/>
      <c r="AG58" s="332"/>
      <c r="AH58" s="332"/>
      <c r="AI58" s="332"/>
      <c r="AJ58" s="332"/>
      <c r="AK58" s="332"/>
      <c r="AL58" s="332"/>
      <c r="AM58" s="332"/>
      <c r="AN58" s="332"/>
      <c r="AO58" s="332"/>
      <c r="AP58" s="332"/>
      <c r="AQ58" s="332"/>
      <c r="AR58" s="332"/>
    </row>
    <row r="59" spans="1:44" ht="14" x14ac:dyDescent="0.15">
      <c r="A59" s="70" t="str">
        <f>'SA Apr 2022'!K45</f>
        <v>Sumo Power</v>
      </c>
      <c r="B59" s="49" t="str">
        <f>'SA Apr 2022'!L45</f>
        <v>Freedom Business</v>
      </c>
      <c r="C59" s="46">
        <f>IF('SA Apr 2022'!BP45=0,91*'SA Apr 2022'!M45/100,(91*'SA Apr 2022'!M45/100)+'SA Apr 2022'!BP45/4)</f>
        <v>72.8</v>
      </c>
      <c r="D59" s="46">
        <f>IF('SA Apr 2022'!O45="",$C$34*$C$35*'SA Apr 2022'!N45/100,IF($C$34*$C$35&gt;='SA Apr 2022'!P45,('SA Apr 2022'!P45*'SA Apr 2022'!N45/100),($C$34*$C$35*'SA Apr 2022'!N45/100)))</f>
        <v>1025.4999999999998</v>
      </c>
      <c r="E59" s="46">
        <f>IF(AND('SA Apr 2022'!P45&gt;0,'SA Apr 2022'!R45&gt;0),IF($C$34*$C$35&lt;'SA Apr 2022'!P45,0,IF($C$34*$C$35&lt;=('SA Apr 2022'!R45+'SA Apr 2022'!P45),(($C$34*$C$35-'SA Apr 2022'!P45)*'SA Apr 2022'!Q45/100),(('SA Apr 2022'!R45)*'SA Apr 2022'!Q45/100))),0)</f>
        <v>0</v>
      </c>
      <c r="F59" s="46">
        <f>IF(AND('SA Apr 2022'!R45&gt;0,'SA Apr 2022'!T45&gt;0),IF(($C$34*$C$35&lt;'SA Apr 2022'!T45),(0),($C$34*$C$35-'SA Apr 2022'!T45)*'SA Apr 2022'!U45/100),IF(AND('SA Apr 2022'!R45&gt;0,'SA Apr 2022'!T45=""),IF(($C$34*$C$35&lt;'SA Apr 2022'!R45+'SA Apr 2022'!P45),(0),(($C$34*$C$35-('SA Apr 2022'!R45+'SA Apr 2022'!P45))*'SA Apr 2022'!S45/100)),IF(AND('SA Apr 2022'!P45&gt;0,'SA Apr 2022'!R45=""&gt;0),IF(($C$34*$C$35&lt;'SA Apr 2022'!P45),(0),($C$34*$C$35-'SA Apr 2022'!P45)*'SA Apr 2022'!Q45/100),0)))</f>
        <v>0</v>
      </c>
      <c r="G59" s="50">
        <f>($C$34*$C$36)*'SA Apr 2022'!AF45/100</f>
        <v>226.49999999999997</v>
      </c>
      <c r="H59" s="51">
        <v>6</v>
      </c>
      <c r="I59" s="52">
        <f t="shared" ref="I59:I61" si="39">SUM(C59:G59)</f>
        <v>1324.7999999999997</v>
      </c>
      <c r="J59" s="111">
        <f t="shared" ref="J59:J61" si="40">(I59-C59)*4</f>
        <v>5007.9999999999991</v>
      </c>
      <c r="K59" s="109">
        <f t="shared" ref="K59:K61" si="41">I59*4</f>
        <v>5299.1999999999989</v>
      </c>
      <c r="L59" s="53">
        <f t="shared" ref="L59:L61" si="42">K59*1.1</f>
        <v>5829.119999999999</v>
      </c>
      <c r="M59" s="54">
        <f>'SA Apr 2022'!BB45</f>
        <v>0</v>
      </c>
      <c r="N59" s="54">
        <f>'SA Apr 2022'!BC45</f>
        <v>0</v>
      </c>
      <c r="O59" s="54">
        <f>'SA Apr 2022'!BD45</f>
        <v>0</v>
      </c>
      <c r="P59" s="54">
        <f>'SA Apr 2022'!BE45</f>
        <v>0</v>
      </c>
      <c r="Q59" s="110" t="str">
        <f t="shared" ref="Q59:Q61" si="43">IF(SUM(M59:P59)=0,"No discount",IF(M59&gt;0,"Guaranteed off bill",IF(N59&gt;0,"Guaranteed off usage",IF(O59&gt;0,"Pay-on-time off bill","Pay-on-time off usage"))))</f>
        <v>No discount</v>
      </c>
      <c r="R59" s="73" t="str">
        <f t="shared" ref="R59:R61" si="44">IF(OR(A59="Origin Energy",A59="Red Energy",A59="Powershop"),"Inclusive","Exclusive")</f>
        <v>Exclusive</v>
      </c>
      <c r="S59" s="111">
        <f t="shared" ref="S59:S61" si="45"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5299.1999999999989</v>
      </c>
      <c r="T59" s="112">
        <f t="shared" si="35"/>
        <v>5299.1999999999989</v>
      </c>
      <c r="U59" s="97">
        <f t="shared" ref="U59:U61" si="46">S59*1.1</f>
        <v>5829.119999999999</v>
      </c>
      <c r="V59" s="268">
        <f t="shared" ref="V59:V61" si="47">T59*1.1</f>
        <v>5829.119999999999</v>
      </c>
      <c r="W59" s="55">
        <f>'SA Apr 2022'!BL45</f>
        <v>0</v>
      </c>
      <c r="X59" s="56">
        <f>'SA Apr 2022'!BM45</f>
        <v>0</v>
      </c>
      <c r="Y59" s="332"/>
      <c r="Z59" s="332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</row>
    <row r="60" spans="1:44" ht="14" x14ac:dyDescent="0.15">
      <c r="A60" s="70" t="str">
        <f>'SA Apr 2022'!K46</f>
        <v>Circular Energy</v>
      </c>
      <c r="B60" s="49" t="str">
        <f>'SA Apr 2022'!L46</f>
        <v>Community Energy Business</v>
      </c>
      <c r="C60" s="46">
        <f>IF('SA Apr 2022'!BP46=0,91*'SA Apr 2022'!M46/100,(91*'SA Apr 2022'!M46/100)+'SA Apr 2022'!BP46/4)</f>
        <v>122.49190909090908</v>
      </c>
      <c r="D60" s="46">
        <f>IF('SA Apr 2022'!O46="",$C$34*$C$35*'SA Apr 2022'!N46/100,IF($C$34*$C$35&gt;='SA Apr 2022'!P46,('SA Apr 2022'!P46*'SA Apr 2022'!N46/100),($C$34*$C$35*'SA Apr 2022'!N46/100)))</f>
        <v>1047.7727272727273</v>
      </c>
      <c r="E60" s="46">
        <f>IF(AND('SA Apr 2022'!P46&gt;0,'SA Apr 2022'!R46&gt;0),IF($C$34*$C$35&lt;'SA Apr 2022'!P46,0,IF($C$34*$C$35&lt;=('SA Apr 2022'!R46+'SA Apr 2022'!P46),(($C$34*$C$35-'SA Apr 2022'!P46)*'SA Apr 2022'!Q46/100),(('SA Apr 2022'!R46)*'SA Apr 2022'!Q46/100))),0)</f>
        <v>0</v>
      </c>
      <c r="F60" s="46">
        <f>IF(AND('SA Apr 2022'!R46&gt;0,'SA Apr 2022'!T46&gt;0),IF(($C$34*$C$35&lt;'SA Apr 2022'!T46),(0),($C$34*$C$35-'SA Apr 2022'!T46)*'SA Apr 2022'!U46/100),IF(AND('SA Apr 2022'!R46&gt;0,'SA Apr 2022'!T46=""),IF(($C$34*$C$35&lt;'SA Apr 2022'!R46+'SA Apr 2022'!P46),(0),(($C$34*$C$35-('SA Apr 2022'!R46+'SA Apr 2022'!P46))*'SA Apr 2022'!S46/100)),IF(AND('SA Apr 2022'!P46&gt;0,'SA Apr 2022'!R46=""&gt;0),IF(($C$34*$C$35&lt;'SA Apr 2022'!P46),(0),($C$34*$C$35-'SA Apr 2022'!P46)*'SA Apr 2022'!Q46/100),0)))</f>
        <v>0</v>
      </c>
      <c r="G60" s="50">
        <f>($C$34*$C$36)*'SA Apr 2022'!AF46/100</f>
        <v>223.6363636363636</v>
      </c>
      <c r="H60" s="51">
        <v>7</v>
      </c>
      <c r="I60" s="52">
        <f t="shared" si="39"/>
        <v>1393.9009999999998</v>
      </c>
      <c r="J60" s="111">
        <f t="shared" si="40"/>
        <v>5085.6363636363631</v>
      </c>
      <c r="K60" s="109">
        <f t="shared" si="41"/>
        <v>5575.6039999999994</v>
      </c>
      <c r="L60" s="53">
        <f t="shared" si="42"/>
        <v>6133.1643999999997</v>
      </c>
      <c r="M60" s="54">
        <f>'SA Apr 2022'!BB46</f>
        <v>0</v>
      </c>
      <c r="N60" s="54">
        <f>'SA Apr 2022'!BC46</f>
        <v>0</v>
      </c>
      <c r="O60" s="54">
        <f>'SA Apr 2022'!BD46</f>
        <v>0</v>
      </c>
      <c r="P60" s="54">
        <f>'SA Apr 2022'!BE46</f>
        <v>0</v>
      </c>
      <c r="Q60" s="110" t="str">
        <f t="shared" si="43"/>
        <v>No discount</v>
      </c>
      <c r="R60" s="73" t="str">
        <f t="shared" si="44"/>
        <v>Exclusive</v>
      </c>
      <c r="S60" s="111">
        <f t="shared" si="45"/>
        <v>5575.6039999999994</v>
      </c>
      <c r="T60" s="112">
        <f t="shared" si="35"/>
        <v>5575.6039999999994</v>
      </c>
      <c r="U60" s="97">
        <f t="shared" si="46"/>
        <v>6133.1643999999997</v>
      </c>
      <c r="V60" s="268">
        <f t="shared" si="47"/>
        <v>6133.1643999999997</v>
      </c>
      <c r="W60" s="55">
        <f>'SA Apr 2022'!BL46</f>
        <v>0</v>
      </c>
      <c r="X60" s="56">
        <f>'SA Apr 2022'!BM46</f>
        <v>0</v>
      </c>
      <c r="Y60" s="332"/>
      <c r="Z60" s="332"/>
      <c r="AA60" s="332"/>
      <c r="AB60" s="332"/>
      <c r="AC60" s="332"/>
      <c r="AD60" s="332"/>
      <c r="AE60" s="332"/>
      <c r="AF60" s="332"/>
      <c r="AG60" s="332"/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</row>
    <row r="61" spans="1:44" ht="15" thickBot="1" x14ac:dyDescent="0.2">
      <c r="A61" s="71" t="str">
        <f>'SA Apr 2022'!K47</f>
        <v>Next Business Energy</v>
      </c>
      <c r="B61" s="57" t="str">
        <f>'SA Apr 2022'!L47</f>
        <v xml:space="preserve">Assured </v>
      </c>
      <c r="C61" s="58">
        <f>IF('SA Apr 2022'!BP47=0,91*'SA Apr 2022'!M47/100,(91*'SA Apr 2022'!M47/100)+'SA Apr 2022'!BP47/4)</f>
        <v>76.075999999999993</v>
      </c>
      <c r="D61" s="58">
        <f>IF('SA Apr 2022'!O47="",$C$34*$C$35*'SA Apr 2022'!N47/100,IF($C$34*$C$35&gt;='SA Apr 2022'!P47,('SA Apr 2022'!P47*'SA Apr 2022'!N47/100),($C$34*$C$35*'SA Apr 2022'!N47/100)))</f>
        <v>1049.9999999999998</v>
      </c>
      <c r="E61" s="58">
        <f>IF(AND('SA Apr 2022'!P47&gt;0,'SA Apr 2022'!R47&gt;0),IF($C$34*$C$35&lt;'SA Apr 2022'!P47,0,IF($C$34*$C$35&lt;=('SA Apr 2022'!R47+'SA Apr 2022'!P47),(($C$34*$C$35-'SA Apr 2022'!P47)*'SA Apr 2022'!Q47/100),(('SA Apr 2022'!R47)*'SA Apr 2022'!Q47/100))),0)</f>
        <v>0</v>
      </c>
      <c r="F61" s="58">
        <f>IF(AND('SA Apr 2022'!R47&gt;0,'SA Apr 2022'!T47&gt;0),IF(($C$34*$C$35&lt;'SA Apr 2022'!T47),(0),($C$34*$C$35-'SA Apr 2022'!T47)*'SA Apr 2022'!U47/100),IF(AND('SA Apr 2022'!R47&gt;0,'SA Apr 2022'!T47=""),IF(($C$34*$C$35&lt;'SA Apr 2022'!R47+'SA Apr 2022'!P47),(0),(($C$34*$C$35-('SA Apr 2022'!R47+'SA Apr 2022'!P47))*'SA Apr 2022'!S47/100)),IF(AND('SA Apr 2022'!P47&gt;0,'SA Apr 2022'!R47=""&gt;0),IF(($C$34*$C$35&lt;'SA Apr 2022'!P47),(0),($C$34*$C$35-'SA Apr 2022'!P47)*'SA Apr 2022'!Q47/100),0)))</f>
        <v>0</v>
      </c>
      <c r="G61" s="59">
        <f>($C$34*$C$36)*'SA Apr 2022'!AF47/100</f>
        <v>322.49999999999994</v>
      </c>
      <c r="H61" s="60">
        <v>8</v>
      </c>
      <c r="I61" s="61">
        <f t="shared" si="39"/>
        <v>1448.5759999999998</v>
      </c>
      <c r="J61" s="113">
        <f t="shared" si="40"/>
        <v>5489.9999999999991</v>
      </c>
      <c r="K61" s="116">
        <f t="shared" si="41"/>
        <v>5794.3039999999992</v>
      </c>
      <c r="L61" s="62">
        <f t="shared" si="42"/>
        <v>6373.7343999999994</v>
      </c>
      <c r="M61" s="63">
        <f>'SA Apr 2022'!BB47</f>
        <v>0</v>
      </c>
      <c r="N61" s="63">
        <f>'SA Apr 2022'!BC47</f>
        <v>0</v>
      </c>
      <c r="O61" s="63">
        <f>'SA Apr 2022'!BD47</f>
        <v>0</v>
      </c>
      <c r="P61" s="63">
        <f>'SA Apr 2022'!BE47</f>
        <v>0</v>
      </c>
      <c r="Q61" s="115" t="str">
        <f t="shared" si="43"/>
        <v>No discount</v>
      </c>
      <c r="R61" s="72" t="str">
        <f t="shared" si="44"/>
        <v>Exclusive</v>
      </c>
      <c r="S61" s="113">
        <f t="shared" si="45"/>
        <v>5794.3039999999992</v>
      </c>
      <c r="T61" s="112">
        <f t="shared" si="35"/>
        <v>5794.3039999999992</v>
      </c>
      <c r="U61" s="99">
        <f t="shared" si="46"/>
        <v>6373.7343999999994</v>
      </c>
      <c r="V61" s="101">
        <f t="shared" si="47"/>
        <v>6373.7343999999994</v>
      </c>
      <c r="W61" s="64">
        <f>'SA Apr 2022'!BL47</f>
        <v>0</v>
      </c>
      <c r="X61" s="65">
        <f>'SA Apr 2022'!BM47</f>
        <v>0</v>
      </c>
      <c r="Y61" s="332"/>
      <c r="Z61" s="332"/>
      <c r="AA61" s="332"/>
      <c r="AB61" s="332"/>
      <c r="AC61" s="332"/>
      <c r="AD61" s="332"/>
      <c r="AE61" s="332"/>
      <c r="AF61" s="332"/>
      <c r="AG61" s="332"/>
      <c r="AH61" s="332"/>
      <c r="AI61" s="332"/>
      <c r="AJ61" s="332"/>
      <c r="AK61" s="332"/>
      <c r="AL61" s="332"/>
      <c r="AM61" s="332"/>
      <c r="AN61" s="332"/>
      <c r="AO61" s="332"/>
      <c r="AP61" s="332"/>
      <c r="AQ61" s="332"/>
      <c r="AR61" s="332"/>
    </row>
    <row r="62" spans="1:44" ht="14" x14ac:dyDescent="0.15">
      <c r="A62" s="332"/>
      <c r="B62" s="332"/>
      <c r="C62" s="332"/>
      <c r="D62" s="332"/>
      <c r="E62" s="332"/>
      <c r="F62" s="332"/>
      <c r="G62" s="335"/>
      <c r="H62" s="335"/>
      <c r="I62" s="336"/>
      <c r="J62" s="336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2"/>
      <c r="AH62" s="332"/>
      <c r="AI62" s="332"/>
      <c r="AJ62" s="332"/>
      <c r="AK62" s="332"/>
      <c r="AL62" s="332"/>
      <c r="AM62" s="332"/>
      <c r="AN62" s="332"/>
      <c r="AO62" s="332"/>
      <c r="AP62" s="332"/>
      <c r="AQ62" s="332"/>
      <c r="AR62" s="332"/>
    </row>
    <row r="63" spans="1:44" ht="15" thickBot="1" x14ac:dyDescent="0.2">
      <c r="A63" s="332"/>
      <c r="B63" s="332"/>
      <c r="C63" s="332"/>
      <c r="D63" s="335"/>
      <c r="E63" s="335"/>
      <c r="F63" s="335"/>
      <c r="G63" s="335"/>
      <c r="H63" s="335"/>
      <c r="I63" s="336"/>
      <c r="J63" s="336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2"/>
      <c r="AH63" s="332"/>
      <c r="AI63" s="332"/>
      <c r="AJ63" s="332"/>
      <c r="AK63" s="332"/>
      <c r="AL63" s="332"/>
      <c r="AM63" s="332"/>
      <c r="AN63" s="332"/>
      <c r="AO63" s="332"/>
      <c r="AP63" s="332"/>
      <c r="AQ63" s="332"/>
      <c r="AR63" s="332"/>
    </row>
    <row r="64" spans="1:44" ht="14" x14ac:dyDescent="0.15">
      <c r="A64" s="36" t="s">
        <v>750</v>
      </c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9"/>
      <c r="Y64" s="332"/>
      <c r="Z64" s="332"/>
      <c r="AA64" s="332"/>
      <c r="AB64" s="332"/>
      <c r="AC64" s="332"/>
      <c r="AD64" s="332"/>
      <c r="AE64" s="332"/>
      <c r="AF64" s="332"/>
      <c r="AG64" s="332"/>
      <c r="AH64" s="332"/>
      <c r="AI64" s="332"/>
      <c r="AJ64" s="332"/>
      <c r="AK64" s="332"/>
      <c r="AL64" s="332"/>
      <c r="AM64" s="332"/>
      <c r="AN64" s="332"/>
      <c r="AO64" s="332"/>
      <c r="AP64" s="332"/>
      <c r="AQ64" s="332"/>
      <c r="AR64" s="332"/>
    </row>
    <row r="65" spans="1:44" ht="14" x14ac:dyDescent="0.15">
      <c r="A65" s="40" t="s">
        <v>197</v>
      </c>
      <c r="B65" s="38"/>
      <c r="C65" s="47">
        <v>5000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41"/>
      <c r="Y65" s="332"/>
      <c r="Z65" s="332"/>
      <c r="AA65" s="332"/>
      <c r="AB65" s="332"/>
      <c r="AC65" s="332"/>
      <c r="AD65" s="332"/>
      <c r="AE65" s="332"/>
      <c r="AF65" s="332"/>
      <c r="AG65" s="332"/>
      <c r="AH65" s="332"/>
      <c r="AI65" s="332"/>
      <c r="AJ65" s="332"/>
      <c r="AK65" s="332"/>
      <c r="AL65" s="332"/>
      <c r="AM65" s="332"/>
      <c r="AN65" s="332"/>
      <c r="AO65" s="332"/>
      <c r="AP65" s="332"/>
      <c r="AQ65" s="332"/>
      <c r="AR65" s="332"/>
    </row>
    <row r="66" spans="1:44" ht="14" x14ac:dyDescent="0.15">
      <c r="A66" s="40" t="s">
        <v>85</v>
      </c>
      <c r="B66" s="38"/>
      <c r="C66" s="48">
        <v>0.3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41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337"/>
      <c r="AM66" s="337"/>
      <c r="AN66" s="337"/>
      <c r="AO66" s="337"/>
      <c r="AP66" s="337"/>
      <c r="AQ66" s="337"/>
      <c r="AR66" s="337"/>
    </row>
    <row r="67" spans="1:44" ht="14" x14ac:dyDescent="0.15">
      <c r="A67" s="40" t="s">
        <v>753</v>
      </c>
      <c r="B67" s="38"/>
      <c r="C67" s="48">
        <v>0.4</v>
      </c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41"/>
      <c r="Y67" s="332"/>
      <c r="Z67" s="332"/>
      <c r="AA67" s="332"/>
      <c r="AB67" s="332"/>
      <c r="AC67" s="332"/>
      <c r="AD67" s="332"/>
      <c r="AE67" s="332"/>
      <c r="AF67" s="332"/>
      <c r="AG67" s="332"/>
      <c r="AH67" s="332"/>
      <c r="AI67" s="332"/>
      <c r="AJ67" s="332"/>
      <c r="AK67" s="332"/>
      <c r="AL67" s="332"/>
      <c r="AM67" s="332"/>
      <c r="AN67" s="332"/>
      <c r="AO67" s="332"/>
      <c r="AP67" s="332"/>
      <c r="AQ67" s="332"/>
      <c r="AR67" s="332"/>
    </row>
    <row r="68" spans="1:44" ht="14" x14ac:dyDescent="0.15">
      <c r="A68" s="40" t="s">
        <v>172</v>
      </c>
      <c r="B68" s="38"/>
      <c r="C68" s="48">
        <v>0.3</v>
      </c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41"/>
      <c r="Y68" s="332"/>
      <c r="Z68" s="332"/>
      <c r="AA68" s="332"/>
      <c r="AB68" s="332"/>
      <c r="AC68" s="332"/>
      <c r="AD68" s="332"/>
      <c r="AE68" s="332"/>
      <c r="AF68" s="332"/>
      <c r="AG68" s="332"/>
      <c r="AH68" s="332"/>
      <c r="AI68" s="332"/>
      <c r="AJ68" s="332"/>
      <c r="AK68" s="332"/>
      <c r="AL68" s="332"/>
      <c r="AM68" s="332"/>
      <c r="AN68" s="332"/>
      <c r="AO68" s="332"/>
      <c r="AP68" s="332"/>
      <c r="AQ68" s="332"/>
      <c r="AR68" s="332"/>
    </row>
    <row r="69" spans="1:44" ht="14" x14ac:dyDescent="0.15">
      <c r="A69" s="40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41"/>
      <c r="Y69" s="332"/>
      <c r="Z69" s="332"/>
      <c r="AA69" s="332"/>
      <c r="AB69" s="332"/>
      <c r="AC69" s="332"/>
      <c r="AD69" s="332"/>
      <c r="AE69" s="332"/>
      <c r="AF69" s="332"/>
      <c r="AG69" s="332"/>
      <c r="AH69" s="332"/>
      <c r="AI69" s="332"/>
      <c r="AJ69" s="332"/>
      <c r="AK69" s="332"/>
      <c r="AL69" s="332"/>
      <c r="AM69" s="332"/>
      <c r="AN69" s="332"/>
      <c r="AO69" s="332"/>
      <c r="AP69" s="332"/>
      <c r="AQ69" s="332"/>
      <c r="AR69" s="332"/>
    </row>
    <row r="70" spans="1:44" ht="75" x14ac:dyDescent="0.15">
      <c r="A70" s="317" t="s">
        <v>216</v>
      </c>
      <c r="B70" s="272" t="s">
        <v>198</v>
      </c>
      <c r="C70" s="274" t="s">
        <v>199</v>
      </c>
      <c r="D70" s="274" t="s">
        <v>200</v>
      </c>
      <c r="E70" s="274" t="s">
        <v>201</v>
      </c>
      <c r="F70" s="274" t="s">
        <v>164</v>
      </c>
      <c r="G70" s="274" t="s">
        <v>754</v>
      </c>
      <c r="H70" s="274" t="s">
        <v>173</v>
      </c>
      <c r="I70" s="274" t="s">
        <v>165</v>
      </c>
      <c r="J70" s="275" t="s">
        <v>544</v>
      </c>
      <c r="K70" s="276" t="s">
        <v>166</v>
      </c>
      <c r="L70" s="277" t="s">
        <v>545</v>
      </c>
      <c r="M70" s="278" t="s">
        <v>167</v>
      </c>
      <c r="N70" s="278" t="s">
        <v>168</v>
      </c>
      <c r="O70" s="278" t="s">
        <v>169</v>
      </c>
      <c r="P70" s="278" t="s">
        <v>170</v>
      </c>
      <c r="Q70" s="279" t="s">
        <v>541</v>
      </c>
      <c r="R70" s="279" t="s">
        <v>542</v>
      </c>
      <c r="S70" s="280" t="s">
        <v>546</v>
      </c>
      <c r="T70" s="280" t="s">
        <v>547</v>
      </c>
      <c r="U70" s="281" t="s">
        <v>227</v>
      </c>
      <c r="V70" s="281" t="s">
        <v>272</v>
      </c>
      <c r="W70" s="278" t="s">
        <v>82</v>
      </c>
      <c r="X70" s="282" t="s">
        <v>83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</row>
    <row r="71" spans="1:44" ht="14" x14ac:dyDescent="0.15">
      <c r="A71" s="70" t="str">
        <f>'SA Apr 2022'!K48</f>
        <v>AGL</v>
      </c>
      <c r="B71" s="49" t="str">
        <f>'SA Apr 2022'!L48</f>
        <v>Business Value Saver</v>
      </c>
      <c r="C71" s="46">
        <f>IF('SA Apr 2022'!BP48=0,91*'SA Apr 2022'!M48/100,(91*'SA Apr 2022'!M48/100)+'SA Apr 2022'!BP48/4)</f>
        <v>101.30781818181816</v>
      </c>
      <c r="D71" s="46">
        <f>IF('SA Apr 2022'!O48="",$C$65*$C$66*'SA Apr 2022'!N48/100,IF($C$65*$C$66&gt;='SA Apr 2022'!P48,('SA Apr 2022'!P48*'SA Apr 2022'!N48/100),($C$65*$C$66*'SA Apr 2022'!N48/100)))</f>
        <v>564.27272727272725</v>
      </c>
      <c r="E71" s="46">
        <f>IF(AND('SA Apr 2022'!P48&gt;0,'SA Apr 2022'!R48&gt;0),IF($C$65*$C$66&lt;'SA Apr 2022'!P48,0,IF($C$65*$C$66&lt;=('SA Apr 2022'!R48+'SA Apr 2022'!P48),(($C$65*$C$66-'SA Apr 2022'!P48)*'SA Apr 2022'!Q48/100),(('SA Apr 2022'!R48)*'SA Apr 2022'!Q48/100))),0)</f>
        <v>0</v>
      </c>
      <c r="F71" s="50">
        <f>IF(AND('SA Apr 2022'!R48&gt;0,'SA Apr 2022'!T48&gt;0),IF(($C$65*$C$66&lt;'SA Apr 2022'!T48),(0),($C$65*$C$66-'SA Apr 2022'!T48)*'SA Apr 2022'!U48/100),IF(AND('SA Apr 2022'!R48&gt;0,'SA Apr 2022'!T48=""),IF(($C$65*$C$66&lt;'SA Apr 2022'!R48+'SA Apr 2022'!P48),(0),(($C$65*$C$66-('SA Apr 2022'!R48+'SA Apr 2022'!P48))*'SA Apr 2022'!S48/100)),IF(AND('SA Apr 2022'!P48&gt;0,'SA Apr 2022'!R48=""&gt;0),IF(($C$65*$C$66&lt;'SA Apr 2022'!P48),(0),($C$65*$C$66-'SA Apr 2022'!P48)*'SA Apr 2022'!Q48/100),0)))</f>
        <v>0</v>
      </c>
      <c r="G71" s="328">
        <f>($C$65*$C$67)*'SA Apr 2022'!AI48/100</f>
        <v>621.4545454545455</v>
      </c>
      <c r="H71" s="51">
        <f>($C$65*$C$68)*'SA Apr 2022'!W48/100</f>
        <v>376.09090909090907</v>
      </c>
      <c r="I71" s="52">
        <f t="shared" ref="I71:I97" si="48">SUM(C71:H71)</f>
        <v>1663.126</v>
      </c>
      <c r="J71" s="109">
        <f t="shared" ref="J71:J92" si="49">(I71-C71)*4</f>
        <v>6247.272727272727</v>
      </c>
      <c r="K71" s="109">
        <f t="shared" ref="K71:K92" si="50">I71*4</f>
        <v>6652.5039999999999</v>
      </c>
      <c r="L71" s="53">
        <f t="shared" ref="L71:L91" si="51">K71*1.1</f>
        <v>7317.7544000000007</v>
      </c>
      <c r="M71" s="54">
        <f>'SA Apr 2022'!BB48</f>
        <v>0</v>
      </c>
      <c r="N71" s="54">
        <f>'SA Apr 2022'!BC48</f>
        <v>0</v>
      </c>
      <c r="O71" s="54">
        <f>'SA Apr 2022'!BD48</f>
        <v>0</v>
      </c>
      <c r="P71" s="54">
        <f>'SA Apr 2022'!BE48</f>
        <v>0</v>
      </c>
      <c r="Q71" s="110" t="str">
        <f t="shared" ref="Q71:Q83" si="52">IF(SUM(M71:P71)=0,"No discount",IF(M71&gt;0,"Guaranteed off bill",IF(N71&gt;0,"Guaranteed off usage",IF(O71&gt;0,"Pay-on-time off bill","Pay-on-time off usage"))))</f>
        <v>No discount</v>
      </c>
      <c r="R71" s="73" t="str">
        <f t="shared" ref="R71:R92" si="53">IF(OR(A71="Origin Energy",A71="Red Energy",A71="Powershop"),"Inclusive","Exclusive")</f>
        <v>Exclusive</v>
      </c>
      <c r="S71" s="111">
        <f>IF(AND(Q71="Guaranteed off bill",R71="Inclusive"),((K71*1.1)-((K71*1.1)*M71/100))/1.1,IF(AND(Q71="Guaranteed off usage",R71="Inclusive"),((K71*1.1)-((J71*1.1)*N71/100))/1.1,IF(AND(Q71="Guaranteed off bill",R71="Exclusive"),K71-(K71*M71/100),IF(AND(Q71="Guaranteed off usage",R71="Exclusive"),K71-(J71*N71/100),IF(R71="Inclusive",((K71*1.1))/1.1,K71)))))</f>
        <v>6652.5039999999999</v>
      </c>
      <c r="T71" s="112">
        <f>IF(AND(Q71="Pay-on-time off bill",R71="Inclusive"),((S71*1.1)-((S71*1.1)*O71/100))/1.1,IF(AND(Q71="Pay-on-time off usage",R71="Inclusive"),((S71*1.1)-((J71*1.1)*P71/100))/1.1,IF(AND(Q71="Pay-on-time off bill",R71="Exclusive"),S71-(S71*O71/100),IF(AND(Q71="Pay-on-time off usage",R71="Exclusive"),S71-(J71*P71/100),IF(R71="Inclusive",((S71*1.1))/1.1,S71)))))</f>
        <v>6652.5039999999999</v>
      </c>
      <c r="U71" s="97">
        <f>S71*1.1</f>
        <v>7317.7544000000007</v>
      </c>
      <c r="V71" s="98">
        <f>T71*1.1</f>
        <v>7317.7544000000007</v>
      </c>
      <c r="W71" s="55">
        <f>'SA Apr 2022'!BL48</f>
        <v>12</v>
      </c>
      <c r="X71" s="56">
        <f>'SA Apr 2022'!BM48</f>
        <v>0</v>
      </c>
      <c r="Y71" s="332"/>
      <c r="Z71" s="332"/>
      <c r="AA71" s="332"/>
      <c r="AB71" s="332"/>
      <c r="AC71" s="332"/>
      <c r="AD71" s="332"/>
      <c r="AE71" s="332"/>
      <c r="AF71" s="332"/>
      <c r="AG71" s="332"/>
      <c r="AH71" s="332"/>
      <c r="AI71" s="332"/>
      <c r="AJ71" s="332"/>
      <c r="AK71" s="332"/>
      <c r="AL71" s="332"/>
      <c r="AM71" s="332"/>
      <c r="AN71" s="332"/>
      <c r="AO71" s="332"/>
      <c r="AP71" s="332"/>
      <c r="AQ71" s="332"/>
      <c r="AR71" s="332"/>
    </row>
    <row r="72" spans="1:44" ht="14" x14ac:dyDescent="0.15">
      <c r="A72" s="70" t="str">
        <f>'SA Apr 2022'!K49</f>
        <v>GlowPower</v>
      </c>
      <c r="B72" s="49" t="str">
        <f>'SA Apr 2022'!L49</f>
        <v>Everyday Saver</v>
      </c>
      <c r="C72" s="46">
        <f>IF('SA Apr 2022'!BP49=0,91*'SA Apr 2022'!M49/100,(91*'SA Apr 2022'!M49/100)+'SA Apr 2022'!BP49/4)</f>
        <v>81.899999999999991</v>
      </c>
      <c r="D72" s="46">
        <f>IF('SA Apr 2022'!O49="",$C$65*$C$66*'SA Apr 2022'!N49/100,IF($C$65*$C$66&gt;='SA Apr 2022'!P49,('SA Apr 2022'!P49*'SA Apr 2022'!N49/100),($C$65*$C$66*'SA Apr 2022'!N49/100)))</f>
        <v>477.27272727272725</v>
      </c>
      <c r="E72" s="46">
        <f>IF(AND('SA Apr 2022'!P49&gt;0,'SA Apr 2022'!R49&gt;0),IF($C$65*$C$66&lt;'SA Apr 2022'!P49,0,IF($C$65*$C$66&lt;=('SA Apr 2022'!R49+'SA Apr 2022'!P49),(($C$65*$C$66-'SA Apr 2022'!P49)*'SA Apr 2022'!Q49/100),(('SA Apr 2022'!R49)*'SA Apr 2022'!Q49/100))),0)</f>
        <v>0</v>
      </c>
      <c r="F72" s="50">
        <f>IF(AND('SA Apr 2022'!R49&gt;0,'SA Apr 2022'!T49&gt;0),IF(($C$65*$C$66&lt;'SA Apr 2022'!T49),(0),($C$65*$C$66-'SA Apr 2022'!T49)*'SA Apr 2022'!U49/100),IF(AND('SA Apr 2022'!R49&gt;0,'SA Apr 2022'!T49=""),IF(($C$65*$C$66&lt;'SA Apr 2022'!R49+'SA Apr 2022'!P49),(0),(($C$65*$C$66-('SA Apr 2022'!R49+'SA Apr 2022'!P49))*'SA Apr 2022'!S49/100)),IF(AND('SA Apr 2022'!P49&gt;0,'SA Apr 2022'!R49=""&gt;0),IF(($C$65*$C$66&lt;'SA Apr 2022'!P49),(0),($C$65*$C$66-'SA Apr 2022'!P49)*'SA Apr 2022'!Q49/100),0)))</f>
        <v>0</v>
      </c>
      <c r="G72" s="328">
        <f>($C$65*$C$67)*'SA Apr 2022'!AI49/100</f>
        <v>581.81818181818176</v>
      </c>
      <c r="H72" s="51">
        <f>($C$65*$C$68)*'SA Apr 2022'!W49/100</f>
        <v>368.86363636363632</v>
      </c>
      <c r="I72" s="52">
        <f t="shared" si="48"/>
        <v>1509.8545454545454</v>
      </c>
      <c r="J72" s="109">
        <f t="shared" si="49"/>
        <v>5711.8181818181811</v>
      </c>
      <c r="K72" s="109">
        <f t="shared" si="50"/>
        <v>6039.4181818181814</v>
      </c>
      <c r="L72" s="53">
        <f t="shared" si="51"/>
        <v>6643.36</v>
      </c>
      <c r="M72" s="54">
        <f>'SA Apr 2022'!BB49</f>
        <v>0</v>
      </c>
      <c r="N72" s="54">
        <f>'SA Apr 2022'!BC49</f>
        <v>0</v>
      </c>
      <c r="O72" s="54">
        <f>'SA Apr 2022'!BD49</f>
        <v>0</v>
      </c>
      <c r="P72" s="54">
        <f>'SA Apr 2022'!BE49</f>
        <v>0</v>
      </c>
      <c r="Q72" s="110" t="str">
        <f t="shared" si="52"/>
        <v>No discount</v>
      </c>
      <c r="R72" s="73" t="str">
        <f t="shared" si="53"/>
        <v>Exclusive</v>
      </c>
      <c r="S72" s="111">
        <f>IF(AND(Q72="Guaranteed off bill",R72="Inclusive"),((K72*1.1)-((K72*1.1)*M72/100))/1.1,IF(AND(Q72="Guaranteed off usage",R72="Inclusive"),((K72*1.1)-((J72*1.1)*N72/100))/1.1,IF(AND(Q72="Guaranteed off bill",R72="Exclusive"),K72-(K72*M72/100),IF(AND(Q72="Guaranteed off usage",R72="Exclusive"),K72-(J72*N72/100),IF(R72="Inclusive",((K72*1.1))/1.1,K72)))))</f>
        <v>6039.4181818181814</v>
      </c>
      <c r="T72" s="112">
        <f>IF(AND(Q72="Pay-on-time off bill",R72="Inclusive"),((S72*1.1)-((S72*1.1)*O72/100))/1.1,IF(AND(Q72="Pay-on-time off usage",R72="Inclusive"),((S72*1.1)-((J72*1.1)*P72/100))/1.1,IF(AND(Q72="Pay-on-time off bill",R72="Exclusive"),S72-(S72*O72/100),IF(AND(Q72="Pay-on-time off usage",R72="Exclusive"),S72-(J72*P72/100),IF(R72="Inclusive",((S72*1.1))/1.1,S72)))))</f>
        <v>6039.4181818181814</v>
      </c>
      <c r="U72" s="97">
        <f t="shared" ref="U72:V92" si="54">S72*1.1</f>
        <v>6643.36</v>
      </c>
      <c r="V72" s="98">
        <f t="shared" si="54"/>
        <v>6643.36</v>
      </c>
      <c r="W72" s="55">
        <f>'SA Apr 2022'!BL49</f>
        <v>0</v>
      </c>
      <c r="X72" s="56">
        <f>'SA Apr 2022'!BM49</f>
        <v>0</v>
      </c>
      <c r="Y72" s="332"/>
      <c r="Z72" s="332"/>
      <c r="AA72" s="332"/>
      <c r="AB72" s="332"/>
      <c r="AC72" s="332"/>
      <c r="AD72" s="332"/>
      <c r="AE72" s="332"/>
      <c r="AF72" s="332"/>
      <c r="AG72" s="332"/>
      <c r="AH72" s="332"/>
      <c r="AI72" s="332"/>
      <c r="AJ72" s="332"/>
      <c r="AK72" s="332"/>
      <c r="AL72" s="332"/>
      <c r="AM72" s="332"/>
      <c r="AN72" s="332"/>
      <c r="AO72" s="332"/>
      <c r="AP72" s="332"/>
      <c r="AQ72" s="332"/>
      <c r="AR72" s="332"/>
    </row>
    <row r="73" spans="1:44" ht="15" thickBot="1" x14ac:dyDescent="0.2">
      <c r="A73" s="71" t="str">
        <f>'SA Apr 2022'!K50</f>
        <v>Circular Energy</v>
      </c>
      <c r="B73" s="57" t="str">
        <f>'SA Apr 2022'!L50</f>
        <v>Community Energy Business</v>
      </c>
      <c r="C73" s="58">
        <f>IF('SA Apr 2022'!BP50=0,91*'SA Apr 2022'!M50/100,(91*'SA Apr 2022'!M50/100)+'SA Apr 2022'!BP50/4)</f>
        <v>122.49190909090908</v>
      </c>
      <c r="D73" s="58">
        <f>IF('SA Apr 2022'!O50="",$C$65*$C$66*'SA Apr 2022'!N50/100,IF($C$65*$C$66&gt;='SA Apr 2022'!P50,('SA Apr 2022'!P50*'SA Apr 2022'!N50/100),($C$65*$C$66*'SA Apr 2022'!N50/100)))</f>
        <v>559.09090909090901</v>
      </c>
      <c r="E73" s="58">
        <f>IF(AND('SA Apr 2022'!P50&gt;0,'SA Apr 2022'!R50&gt;0),IF($C$65*$C$66&lt;'SA Apr 2022'!P50,0,IF($C$65*$C$66&lt;=('SA Apr 2022'!R50+'SA Apr 2022'!P50),(($C$65*$C$66-'SA Apr 2022'!P50)*'SA Apr 2022'!Q50/100),(('SA Apr 2022'!R50)*'SA Apr 2022'!Q50/100))),0)</f>
        <v>0</v>
      </c>
      <c r="F73" s="59">
        <f>IF(AND('SA Apr 2022'!R50&gt;0,'SA Apr 2022'!T50&gt;0),IF(($C$65*$C$66&lt;'SA Apr 2022'!T50),(0),($C$65*$C$66-'SA Apr 2022'!T50)*'SA Apr 2022'!U50/100),IF(AND('SA Apr 2022'!R50&gt;0,'SA Apr 2022'!T50=""),IF(($C$65*$C$66&lt;'SA Apr 2022'!R50+'SA Apr 2022'!P50),(0),(($C$65*$C$66-('SA Apr 2022'!R50+'SA Apr 2022'!P50))*'SA Apr 2022'!S50/100)),IF(AND('SA Apr 2022'!P50&gt;0,'SA Apr 2022'!R50=""&gt;0),IF(($C$65*$C$66&lt;'SA Apr 2022'!P50),(0),($C$65*$C$66-'SA Apr 2022'!P50)*'SA Apr 2022'!Q50/100),0)))</f>
        <v>0</v>
      </c>
      <c r="G73" s="329">
        <f>($C$65*$C$67)*'SA Apr 2022'!AI50/100</f>
        <v>607.27272727272725</v>
      </c>
      <c r="H73" s="60">
        <f>($C$65*$C$68)*'SA Apr 2022'!W50/100</f>
        <v>368.86363636363632</v>
      </c>
      <c r="I73" s="61">
        <f t="shared" si="48"/>
        <v>1657.7191818181816</v>
      </c>
      <c r="J73" s="116">
        <f t="shared" si="49"/>
        <v>6140.9090909090901</v>
      </c>
      <c r="K73" s="116">
        <f t="shared" si="50"/>
        <v>6630.8767272727264</v>
      </c>
      <c r="L73" s="62">
        <f t="shared" si="51"/>
        <v>7293.9643999999998</v>
      </c>
      <c r="M73" s="63">
        <f>'SA Apr 2022'!BB50</f>
        <v>0</v>
      </c>
      <c r="N73" s="63">
        <f>'SA Apr 2022'!BC50</f>
        <v>0</v>
      </c>
      <c r="O73" s="63">
        <f>'SA Apr 2022'!BD50</f>
        <v>0</v>
      </c>
      <c r="P73" s="63">
        <f>'SA Apr 2022'!BE50</f>
        <v>0</v>
      </c>
      <c r="Q73" s="115" t="str">
        <f t="shared" si="52"/>
        <v>No discount</v>
      </c>
      <c r="R73" s="72" t="str">
        <f t="shared" si="53"/>
        <v>Exclusive</v>
      </c>
      <c r="S73" s="113">
        <f t="shared" ref="S73:S92" si="55">IF(AND(Q73="Guaranteed off bill",R73="Inclusive"),((K73*1.1)-((K73*1.1)*M73/100))/1.1,IF(AND(Q73="Guaranteed off usage",R73="Inclusive"),((K73*1.1)-((J73*1.1)*N73/100))/1.1,IF(AND(Q73="Guaranteed off bill",R73="Exclusive"),K73-(K73*M73/100),IF(AND(Q73="Guaranteed off usage",R73="Exclusive"),K73-(J73*N73/100),IF(R73="Inclusive",((K73*1.1))/1.1,K73)))))</f>
        <v>6630.8767272727264</v>
      </c>
      <c r="T73" s="114">
        <f t="shared" ref="T73:T92" si="56">IF(AND(Q73="Pay-on-time off bill",R73="Inclusive"),((S73*1.1)-((S73*1.1)*O73/100))/1.1,IF(AND(Q73="Pay-on-time off usage",R73="Inclusive"),((S73*1.1)-((J73*1.1)*P73/100))/1.1,IF(AND(Q73="Pay-on-time off bill",R73="Exclusive"),S73-(S73*O73/100),IF(AND(Q73="Pay-on-time off usage",R73="Exclusive"),S73-(J73*P73/100),IF(R73="Inclusive",((S73*1.1))/1.1,S73)))))</f>
        <v>6630.8767272727264</v>
      </c>
      <c r="U73" s="99">
        <f t="shared" si="54"/>
        <v>7293.9643999999998</v>
      </c>
      <c r="V73" s="100">
        <f t="shared" si="54"/>
        <v>7293.9643999999998</v>
      </c>
      <c r="W73" s="64">
        <f>'SA Apr 2022'!BL50</f>
        <v>0</v>
      </c>
      <c r="X73" s="65">
        <f>'SA Apr 2022'!BM50</f>
        <v>0</v>
      </c>
      <c r="Y73" s="332"/>
      <c r="Z73" s="332"/>
      <c r="AA73" s="332"/>
      <c r="AB73" s="332"/>
      <c r="AC73" s="332"/>
      <c r="AD73" s="332"/>
      <c r="AE73" s="332"/>
      <c r="AF73" s="332"/>
      <c r="AG73" s="332"/>
      <c r="AH73" s="332"/>
      <c r="AI73" s="332"/>
      <c r="AJ73" s="332"/>
      <c r="AK73" s="332"/>
      <c r="AL73" s="332"/>
      <c r="AM73" s="332"/>
      <c r="AN73" s="332"/>
      <c r="AO73" s="332"/>
      <c r="AP73" s="332"/>
      <c r="AQ73" s="332"/>
      <c r="AR73" s="332"/>
    </row>
    <row r="74" spans="1:44" ht="14" x14ac:dyDescent="0.15">
      <c r="A74" s="332"/>
      <c r="B74" s="332"/>
      <c r="C74" s="332"/>
      <c r="D74" s="335"/>
      <c r="E74" s="335"/>
      <c r="F74" s="335"/>
      <c r="G74" s="335"/>
      <c r="H74" s="335"/>
      <c r="I74" s="336"/>
      <c r="J74" s="336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2"/>
      <c r="AH74" s="332"/>
      <c r="AI74" s="332"/>
      <c r="AJ74" s="332"/>
      <c r="AK74" s="332"/>
      <c r="AL74" s="332"/>
      <c r="AM74" s="332"/>
      <c r="AN74" s="332"/>
      <c r="AO74" s="332"/>
      <c r="AP74" s="332"/>
      <c r="AQ74" s="332"/>
      <c r="AR74" s="332"/>
    </row>
    <row r="75" spans="1:44" ht="15" thickBot="1" x14ac:dyDescent="0.2">
      <c r="A75" s="332"/>
      <c r="B75" s="332"/>
      <c r="C75" s="332"/>
      <c r="D75" s="332"/>
      <c r="E75" s="332"/>
      <c r="F75" s="332"/>
      <c r="G75" s="335"/>
      <c r="H75" s="335"/>
      <c r="I75" s="336"/>
      <c r="J75" s="336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2"/>
      <c r="AH75" s="332"/>
      <c r="AI75" s="332"/>
      <c r="AJ75" s="332"/>
      <c r="AK75" s="332"/>
      <c r="AL75" s="332"/>
      <c r="AM75" s="332"/>
      <c r="AN75" s="332"/>
      <c r="AO75" s="332"/>
      <c r="AP75" s="332"/>
      <c r="AQ75" s="332"/>
      <c r="AR75" s="332"/>
    </row>
    <row r="76" spans="1:44" ht="14" x14ac:dyDescent="0.15">
      <c r="A76" s="36" t="s">
        <v>417</v>
      </c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9"/>
      <c r="Y76" s="332"/>
      <c r="Z76" s="332"/>
      <c r="AA76" s="332"/>
      <c r="AB76" s="332"/>
      <c r="AC76" s="332"/>
      <c r="AD76" s="332"/>
      <c r="AE76" s="332"/>
      <c r="AF76" s="332"/>
      <c r="AG76" s="332"/>
      <c r="AH76" s="332"/>
      <c r="AI76" s="332"/>
      <c r="AJ76" s="332"/>
      <c r="AK76" s="332"/>
      <c r="AL76" s="332"/>
      <c r="AM76" s="332"/>
      <c r="AN76" s="332"/>
      <c r="AO76" s="332"/>
      <c r="AP76" s="332"/>
      <c r="AQ76" s="332"/>
      <c r="AR76" s="332"/>
    </row>
    <row r="77" spans="1:44" ht="14" x14ac:dyDescent="0.15">
      <c r="A77" s="40" t="s">
        <v>197</v>
      </c>
      <c r="B77" s="38"/>
      <c r="C77" s="47">
        <v>5000</v>
      </c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41"/>
      <c r="Y77" s="332"/>
      <c r="Z77" s="332"/>
      <c r="AA77" s="332"/>
      <c r="AB77" s="332"/>
      <c r="AC77" s="332"/>
      <c r="AD77" s="332"/>
      <c r="AE77" s="332"/>
      <c r="AF77" s="332"/>
      <c r="AG77" s="332"/>
      <c r="AH77" s="332"/>
      <c r="AI77" s="332"/>
      <c r="AJ77" s="332"/>
      <c r="AK77" s="332"/>
      <c r="AL77" s="332"/>
      <c r="AM77" s="332"/>
      <c r="AN77" s="332"/>
      <c r="AO77" s="332"/>
      <c r="AP77" s="332"/>
      <c r="AQ77" s="332"/>
      <c r="AR77" s="332"/>
    </row>
    <row r="78" spans="1:44" ht="14" x14ac:dyDescent="0.15">
      <c r="A78" s="40" t="s">
        <v>85</v>
      </c>
      <c r="B78" s="38"/>
      <c r="C78" s="48">
        <v>0.6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41"/>
      <c r="Y78" s="332"/>
      <c r="Z78" s="332"/>
      <c r="AA78" s="332"/>
      <c r="AB78" s="332"/>
      <c r="AC78" s="332"/>
      <c r="AD78" s="332"/>
      <c r="AE78" s="332"/>
      <c r="AF78" s="332"/>
      <c r="AG78" s="332"/>
      <c r="AH78" s="332"/>
      <c r="AI78" s="332"/>
      <c r="AJ78" s="332"/>
      <c r="AK78" s="332"/>
      <c r="AL78" s="332"/>
      <c r="AM78" s="332"/>
      <c r="AN78" s="332"/>
      <c r="AO78" s="332"/>
      <c r="AP78" s="332"/>
      <c r="AQ78" s="332"/>
      <c r="AR78" s="332"/>
    </row>
    <row r="79" spans="1:44" ht="14" x14ac:dyDescent="0.15">
      <c r="A79" s="40" t="s">
        <v>172</v>
      </c>
      <c r="B79" s="38"/>
      <c r="C79" s="48">
        <v>0.4</v>
      </c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41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</row>
    <row r="80" spans="1:44" ht="14" x14ac:dyDescent="0.15">
      <c r="A80" s="40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41"/>
      <c r="Y80" s="332"/>
      <c r="Z80" s="332"/>
      <c r="AA80" s="332"/>
      <c r="AB80" s="332"/>
      <c r="AC80" s="332"/>
      <c r="AD80" s="332"/>
      <c r="AE80" s="332"/>
      <c r="AF80" s="332"/>
      <c r="AG80" s="332"/>
      <c r="AH80" s="332"/>
      <c r="AI80" s="332"/>
      <c r="AJ80" s="332"/>
      <c r="AK80" s="332"/>
      <c r="AL80" s="332"/>
      <c r="AM80" s="332"/>
      <c r="AN80" s="332"/>
      <c r="AO80" s="332"/>
      <c r="AP80" s="332"/>
      <c r="AQ80" s="332"/>
      <c r="AR80" s="332"/>
    </row>
    <row r="81" spans="1:44" ht="75" x14ac:dyDescent="0.15">
      <c r="A81" s="317" t="s">
        <v>216</v>
      </c>
      <c r="B81" s="272" t="s">
        <v>198</v>
      </c>
      <c r="C81" s="274" t="s">
        <v>199</v>
      </c>
      <c r="D81" s="274" t="s">
        <v>200</v>
      </c>
      <c r="E81" s="274" t="s">
        <v>201</v>
      </c>
      <c r="F81" s="274" t="s">
        <v>202</v>
      </c>
      <c r="G81" s="274" t="s">
        <v>164</v>
      </c>
      <c r="H81" s="274" t="s">
        <v>173</v>
      </c>
      <c r="I81" s="274" t="s">
        <v>165</v>
      </c>
      <c r="J81" s="275" t="s">
        <v>544</v>
      </c>
      <c r="K81" s="276" t="s">
        <v>166</v>
      </c>
      <c r="L81" s="277" t="s">
        <v>545</v>
      </c>
      <c r="M81" s="278" t="s">
        <v>167</v>
      </c>
      <c r="N81" s="278" t="s">
        <v>168</v>
      </c>
      <c r="O81" s="278" t="s">
        <v>169</v>
      </c>
      <c r="P81" s="278" t="s">
        <v>170</v>
      </c>
      <c r="Q81" s="279" t="s">
        <v>541</v>
      </c>
      <c r="R81" s="279" t="s">
        <v>542</v>
      </c>
      <c r="S81" s="280" t="s">
        <v>546</v>
      </c>
      <c r="T81" s="280" t="s">
        <v>547</v>
      </c>
      <c r="U81" s="281" t="s">
        <v>227</v>
      </c>
      <c r="V81" s="281" t="s">
        <v>272</v>
      </c>
      <c r="W81" s="278" t="s">
        <v>82</v>
      </c>
      <c r="X81" s="282" t="s">
        <v>83</v>
      </c>
      <c r="Y81" s="332"/>
      <c r="Z81" s="332"/>
      <c r="AA81" s="332"/>
      <c r="AB81" s="332"/>
      <c r="AC81" s="332"/>
      <c r="AD81" s="332"/>
      <c r="AE81" s="332"/>
      <c r="AF81" s="332"/>
      <c r="AG81" s="332"/>
      <c r="AH81" s="332"/>
      <c r="AI81" s="332"/>
      <c r="AJ81" s="332"/>
      <c r="AK81" s="332"/>
      <c r="AL81" s="332"/>
      <c r="AM81" s="332"/>
      <c r="AN81" s="332"/>
      <c r="AO81" s="332"/>
      <c r="AP81" s="332"/>
      <c r="AQ81" s="332"/>
      <c r="AR81" s="332"/>
    </row>
    <row r="82" spans="1:44" ht="14" x14ac:dyDescent="0.15">
      <c r="A82" s="70" t="str">
        <f>'SA Apr 2022'!K51</f>
        <v>Alinta Energy</v>
      </c>
      <c r="B82" s="49" t="str">
        <f>'SA Apr 2022'!L51</f>
        <v>BusinessDeal</v>
      </c>
      <c r="C82" s="46">
        <f>IF('SA Apr 2022'!BP51=0,91*'SA Apr 2022'!M51/100,(91*'SA Apr 2022'!M51/100)+'SA Apr 2022'!BP51/4)</f>
        <v>81.701454545454538</v>
      </c>
      <c r="D82" s="46">
        <f>IF('SA Apr 2022'!O51="",$C$77*$C$78*'SA Apr 2022'!N51/100,IF($C$77*$C$78&gt;='SA Apr 2022'!P51,('SA Apr 2022'!P51*'SA Apr 2022'!N51/100),($C$77*$C$78*'SA Apr 2022'!N51/100)))</f>
        <v>937.09090909090901</v>
      </c>
      <c r="E82" s="46">
        <f>IF(AND('SA Apr 2022'!P51&gt;0,'SA Apr 2022'!R51&gt;0),IF($C$77*$C$78&lt;'SA Apr 2022'!P51,0,IF($C$77*$C$78&lt;=('SA Apr 2022'!R51+'SA Apr 2022'!P51),(($C$77*$C$78-'SA Apr 2022'!P51)*'SA Apr 2022'!Q51/100),(('SA Apr 2022'!R51)*'SA Apr 2022'!Q51/100))),0)</f>
        <v>0</v>
      </c>
      <c r="F82" s="50">
        <f>IF(AND('SA Apr 2022'!R51&gt;0,'SA Apr 2022'!T51&gt;0),IF(($C$77*$C$78&lt;'SA Apr 2022'!T51),(0),($C$77*$C$78-'SA Apr 2022'!T51)*'SA Apr 2022'!U51/100),IF(AND('SA Apr 2022'!R51&gt;0,'SA Apr 2022'!T51=""),IF(($C$77*$C$78&lt;'SA Apr 2022'!R51+'SA Apr 2022'!P51),(0),(($C$77*$C$78-('SA Apr 2022'!R51+'SA Apr 2022'!P51))*'SA Apr 2022'!S51/100)),IF(AND('SA Apr 2022'!P51&gt;0,'SA Apr 2022'!R51=""&gt;0),IF(($C$77*$C$78&lt;'SA Apr 2022'!P51),(0),($C$77*$C$78-'SA Apr 2022'!P51)*'SA Apr 2022'!Q51/100),0)))</f>
        <v>0</v>
      </c>
      <c r="G82" s="328">
        <v>0</v>
      </c>
      <c r="H82" s="51">
        <f>($C$77*$C$79)*'SA Apr 2022'!W51/100</f>
        <v>373.09090909090907</v>
      </c>
      <c r="I82" s="52">
        <f t="shared" si="48"/>
        <v>1391.8832727272727</v>
      </c>
      <c r="J82" s="109">
        <f t="shared" si="49"/>
        <v>5240.727272727273</v>
      </c>
      <c r="K82" s="109">
        <f t="shared" si="50"/>
        <v>5567.5330909090908</v>
      </c>
      <c r="L82" s="53">
        <f t="shared" si="51"/>
        <v>6124.2864</v>
      </c>
      <c r="M82" s="54">
        <f>'SA Apr 2022'!BB51</f>
        <v>0</v>
      </c>
      <c r="N82" s="54">
        <f>'SA Apr 2022'!BC51</f>
        <v>0</v>
      </c>
      <c r="O82" s="54">
        <f>'SA Apr 2022'!BD51</f>
        <v>0</v>
      </c>
      <c r="P82" s="54">
        <f>'SA Apr 2022'!BE51</f>
        <v>0</v>
      </c>
      <c r="Q82" s="110" t="str">
        <f t="shared" si="52"/>
        <v>No discount</v>
      </c>
      <c r="R82" s="73" t="str">
        <f t="shared" si="53"/>
        <v>Exclusive</v>
      </c>
      <c r="S82" s="111">
        <f t="shared" si="55"/>
        <v>5567.5330909090908</v>
      </c>
      <c r="T82" s="112">
        <f t="shared" si="56"/>
        <v>5567.5330909090908</v>
      </c>
      <c r="U82" s="97">
        <f t="shared" si="54"/>
        <v>6124.2864</v>
      </c>
      <c r="V82" s="98">
        <f t="shared" si="54"/>
        <v>6124.2864</v>
      </c>
      <c r="W82" s="55">
        <f>'SA Apr 2022'!BL51</f>
        <v>0</v>
      </c>
      <c r="X82" s="56">
        <f>'SA Apr 2022'!BM51</f>
        <v>0</v>
      </c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337"/>
      <c r="AN82" s="337"/>
      <c r="AO82" s="337"/>
      <c r="AP82" s="337"/>
      <c r="AQ82" s="337"/>
      <c r="AR82" s="337"/>
    </row>
    <row r="83" spans="1:44" ht="14" x14ac:dyDescent="0.15">
      <c r="A83" s="70" t="str">
        <f>'SA Apr 2022'!K52</f>
        <v>Diamond Energy</v>
      </c>
      <c r="B83" s="49" t="str">
        <f>'SA Apr 2022'!L52</f>
        <v>Renewable Saver POT</v>
      </c>
      <c r="C83" s="46">
        <f>IF('SA Apr 2022'!BP52=0,91*'SA Apr 2022'!M52/100,(91*'SA Apr 2022'!M52/100)+'SA Apr 2022'!BP52/4)</f>
        <v>80.932090909090888</v>
      </c>
      <c r="D83" s="46">
        <f>IF('SA Apr 2022'!O52="",$C$77*$C$78*'SA Apr 2022'!N52/100,IF($C$77*$C$78&gt;='SA Apr 2022'!P52,('SA Apr 2022'!P52*'SA Apr 2022'!N52/100),($C$77*$C$78*'SA Apr 2022'!N52/100)))</f>
        <v>356.09090909090912</v>
      </c>
      <c r="E83" s="46">
        <f>IF(AND('SA Apr 2022'!P52&gt;0,'SA Apr 2022'!R52&gt;0),IF($C$77*$C$78&lt;'SA Apr 2022'!P52,0,IF($C$77*$C$78&lt;=('SA Apr 2022'!R52+'SA Apr 2022'!P52),(($C$77*$C$78-'SA Apr 2022'!P52)*'SA Apr 2022'!Q52/100),(('SA Apr 2022'!R52)*'SA Apr 2022'!Q52/100))),0)</f>
        <v>584.31818181818176</v>
      </c>
      <c r="F83" s="50">
        <f>IF(AND('SA Apr 2022'!R52&gt;0,'SA Apr 2022'!T52&gt;0),IF(($C$77*$C$78&lt;'SA Apr 2022'!T52),(0),($C$77*$C$78-'SA Apr 2022'!T52)*'SA Apr 2022'!U52/100),IF(AND('SA Apr 2022'!R52&gt;0,'SA Apr 2022'!T52=""),IF(($C$77*$C$78&lt;'SA Apr 2022'!R52+'SA Apr 2022'!P52),(0),(($C$77*$C$78-('SA Apr 2022'!R52+'SA Apr 2022'!P52))*'SA Apr 2022'!S52/100)),IF(AND('SA Apr 2022'!P52&gt;0,'SA Apr 2022'!R52=""&gt;0),IF(($C$77*$C$78&lt;'SA Apr 2022'!P52),(0),($C$77*$C$78-'SA Apr 2022'!P52)*'SA Apr 2022'!Q52/100),0)))</f>
        <v>209.45454545454541</v>
      </c>
      <c r="G83" s="328">
        <v>0</v>
      </c>
      <c r="H83" s="51">
        <f>($C$77*$C$79)*'SA Apr 2022'!W52/100</f>
        <v>450.72727272727275</v>
      </c>
      <c r="I83" s="52">
        <f t="shared" si="48"/>
        <v>1681.5229999999999</v>
      </c>
      <c r="J83" s="109">
        <f t="shared" si="49"/>
        <v>6402.363636363636</v>
      </c>
      <c r="K83" s="109">
        <f t="shared" si="50"/>
        <v>6726.0919999999996</v>
      </c>
      <c r="L83" s="53">
        <f t="shared" si="51"/>
        <v>7398.7012000000004</v>
      </c>
      <c r="M83" s="54">
        <f>'SA Apr 2022'!BB52</f>
        <v>0</v>
      </c>
      <c r="N83" s="54">
        <f>'SA Apr 2022'!BC52</f>
        <v>0</v>
      </c>
      <c r="O83" s="54">
        <f>'SA Apr 2022'!BD52</f>
        <v>7</v>
      </c>
      <c r="P83" s="54">
        <f>'SA Apr 2022'!BE52</f>
        <v>0</v>
      </c>
      <c r="Q83" s="110" t="str">
        <f t="shared" si="52"/>
        <v>Pay-on-time off bill</v>
      </c>
      <c r="R83" s="73" t="str">
        <f t="shared" si="53"/>
        <v>Exclusive</v>
      </c>
      <c r="S83" s="111">
        <f t="shared" si="55"/>
        <v>6726.0919999999996</v>
      </c>
      <c r="T83" s="112">
        <f t="shared" si="56"/>
        <v>6255.2655599999998</v>
      </c>
      <c r="U83" s="97">
        <f t="shared" si="54"/>
        <v>7398.7012000000004</v>
      </c>
      <c r="V83" s="98">
        <f t="shared" si="54"/>
        <v>6880.7921160000005</v>
      </c>
      <c r="W83" s="55">
        <f>'SA Apr 2022'!BL52</f>
        <v>0</v>
      </c>
      <c r="X83" s="56">
        <f>'SA Apr 2022'!BM52</f>
        <v>0</v>
      </c>
      <c r="Y83" s="332"/>
      <c r="Z83" s="332"/>
      <c r="AA83" s="332"/>
      <c r="AB83" s="332"/>
      <c r="AC83" s="332"/>
      <c r="AD83" s="332"/>
      <c r="AE83" s="332"/>
      <c r="AF83" s="332"/>
      <c r="AG83" s="332"/>
      <c r="AH83" s="332"/>
      <c r="AI83" s="332"/>
      <c r="AJ83" s="332"/>
      <c r="AK83" s="332"/>
      <c r="AL83" s="332"/>
      <c r="AM83" s="332"/>
      <c r="AN83" s="332"/>
      <c r="AO83" s="332"/>
      <c r="AP83" s="332"/>
      <c r="AQ83" s="332"/>
      <c r="AR83" s="332"/>
    </row>
    <row r="84" spans="1:44" ht="14" x14ac:dyDescent="0.15">
      <c r="A84" s="70" t="str">
        <f>'SA Apr 2022'!K53</f>
        <v>EnergyAustralia</v>
      </c>
      <c r="B84" s="49" t="str">
        <f>'SA Apr 2022'!L53</f>
        <v>Total Plan</v>
      </c>
      <c r="C84" s="46">
        <f>IF('SA Apr 2022'!BP53=0,91*'SA Apr 2022'!M53/100,(91*'SA Apr 2022'!M53/100)+'SA Apr 2022'!BP53/4)</f>
        <v>89.634999999999977</v>
      </c>
      <c r="D84" s="46">
        <f>IF('SA Apr 2022'!O53="",$C$77*$C$78*'SA Apr 2022'!N53/100,IF($C$77*$C$78&gt;='SA Apr 2022'!P53,('SA Apr 2022'!P53*'SA Apr 2022'!N53/100),($C$77*$C$78*'SA Apr 2022'!N53/100)))</f>
        <v>1172.9999999999998</v>
      </c>
      <c r="E84" s="46">
        <f>IF(AND('SA Apr 2022'!P53&gt;0,'SA Apr 2022'!R53&gt;0),IF($C$77*$C$78&lt;'SA Apr 2022'!P53,0,IF($C$77*$C$78&lt;=('SA Apr 2022'!R53+'SA Apr 2022'!P53),(($C$77*$C$78-'SA Apr 2022'!P53)*'SA Apr 2022'!Q53/100),(('SA Apr 2022'!R53)*'SA Apr 2022'!Q53/100))),0)</f>
        <v>0</v>
      </c>
      <c r="F84" s="50">
        <f>IF(AND('SA Apr 2022'!R53&gt;0,'SA Apr 2022'!T53&gt;0),IF(($C$77*$C$78&lt;'SA Apr 2022'!T53),(0),($C$77*$C$78-'SA Apr 2022'!T53)*'SA Apr 2022'!U53/100),IF(AND('SA Apr 2022'!R53&gt;0,'SA Apr 2022'!T53=""),IF(($C$77*$C$78&lt;'SA Apr 2022'!R53+'SA Apr 2022'!P53),(0),(($C$77*$C$78-('SA Apr 2022'!R53+'SA Apr 2022'!P53))*'SA Apr 2022'!S53/100)),IF(AND('SA Apr 2022'!P53&gt;0,'SA Apr 2022'!R53=""&gt;0),IF(($C$77*$C$78&lt;'SA Apr 2022'!P53),(0),($C$77*$C$78-'SA Apr 2022'!P53)*'SA Apr 2022'!Q53/100),0)))</f>
        <v>0</v>
      </c>
      <c r="G84" s="328">
        <v>0</v>
      </c>
      <c r="H84" s="51">
        <f>($C$77*$C$79)*'SA Apr 2022'!W53/100</f>
        <v>499.81818181818176</v>
      </c>
      <c r="I84" s="52">
        <f t="shared" si="48"/>
        <v>1762.4531818181815</v>
      </c>
      <c r="J84" s="109">
        <f t="shared" si="49"/>
        <v>6691.2727272727261</v>
      </c>
      <c r="K84" s="109">
        <f t="shared" si="50"/>
        <v>7049.8127272727261</v>
      </c>
      <c r="L84" s="53">
        <f t="shared" si="51"/>
        <v>7754.793999999999</v>
      </c>
      <c r="M84" s="54">
        <f>'SA Apr 2022'!BB53</f>
        <v>3</v>
      </c>
      <c r="N84" s="54">
        <f>'SA Apr 2022'!BC53</f>
        <v>0</v>
      </c>
      <c r="O84" s="54">
        <f>'SA Apr 2022'!BD53</f>
        <v>0</v>
      </c>
      <c r="P84" s="54">
        <f>'SA Apr 2022'!BE53</f>
        <v>0</v>
      </c>
      <c r="Q84" s="110" t="str">
        <f t="shared" ref="Q84:Q89" si="57">IF(SUM(M84:P84)=0,"No discount",IF(M84&gt;0,"Guaranteed off bill",IF(N84&gt;0,"Guaranteed off usage",IF(O84&gt;0,"Pay-on-time off bill","Pay-on-time off usage"))))</f>
        <v>Guaranteed off bill</v>
      </c>
      <c r="R84" s="73" t="str">
        <f t="shared" si="53"/>
        <v>Exclusive</v>
      </c>
      <c r="S84" s="111">
        <f t="shared" si="55"/>
        <v>6838.3183454545442</v>
      </c>
      <c r="T84" s="112">
        <f t="shared" si="56"/>
        <v>6838.3183454545442</v>
      </c>
      <c r="U84" s="97">
        <f t="shared" si="54"/>
        <v>7522.1501799999996</v>
      </c>
      <c r="V84" s="98">
        <f t="shared" si="54"/>
        <v>7522.1501799999996</v>
      </c>
      <c r="W84" s="55">
        <f>'SA Apr 2022'!BL53</f>
        <v>0</v>
      </c>
      <c r="X84" s="56">
        <f>'SA Apr 2022'!BM53</f>
        <v>0</v>
      </c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337"/>
      <c r="AM84" s="337"/>
      <c r="AN84" s="337"/>
      <c r="AO84" s="337"/>
      <c r="AP84" s="337"/>
      <c r="AQ84" s="337"/>
      <c r="AR84" s="337"/>
    </row>
    <row r="85" spans="1:44" ht="14" x14ac:dyDescent="0.15">
      <c r="A85" s="70" t="str">
        <f>'SA Apr 2022'!K54</f>
        <v>Lumo Energy</v>
      </c>
      <c r="B85" s="49" t="str">
        <f>'SA Apr 2022'!L54</f>
        <v>Basic</v>
      </c>
      <c r="C85" s="46">
        <f>IF('SA Apr 2022'!BP54=0,91*'SA Apr 2022'!M54/100,(91*'SA Apr 2022'!M54/100)+'SA Apr 2022'!BP54/4)</f>
        <v>78.276545454545442</v>
      </c>
      <c r="D85" s="46">
        <f>IF('SA Apr 2022'!O54="",$C$77*$C$78*'SA Apr 2022'!N54/100,IF($C$77*$C$78&gt;='SA Apr 2022'!P54,('SA Apr 2022'!P54*'SA Apr 2022'!N54/100),($C$77*$C$78*'SA Apr 2022'!N54/100)))</f>
        <v>1043.9999999999998</v>
      </c>
      <c r="E85" s="46">
        <f>IF(AND('SA Apr 2022'!P54&gt;0,'SA Apr 2022'!R54&gt;0),IF($C$77*$C$78&lt;'SA Apr 2022'!P54,0,IF($C$77*$C$78&lt;=('SA Apr 2022'!R54+'SA Apr 2022'!P54),(($C$77*$C$78-'SA Apr 2022'!P54)*'SA Apr 2022'!Q54/100),(('SA Apr 2022'!R54)*'SA Apr 2022'!Q54/100))),0)</f>
        <v>0</v>
      </c>
      <c r="F85" s="50">
        <f>IF(AND('SA Apr 2022'!R54&gt;0,'SA Apr 2022'!T54&gt;0),IF(($C$77*$C$78&lt;'SA Apr 2022'!T54),(0),($C$77*$C$78-'SA Apr 2022'!T54)*'SA Apr 2022'!U54/100),IF(AND('SA Apr 2022'!R54&gt;0,'SA Apr 2022'!T54=""),IF(($C$77*$C$78&lt;'SA Apr 2022'!R54+'SA Apr 2022'!P54),(0),(($C$77*$C$78-('SA Apr 2022'!R54+'SA Apr 2022'!P54))*'SA Apr 2022'!S54/100)),IF(AND('SA Apr 2022'!P54&gt;0,'SA Apr 2022'!R54=""&gt;0),IF(($C$77*$C$78&lt;'SA Apr 2022'!P54),(0),($C$77*$C$78-'SA Apr 2022'!P54)*'SA Apr 2022'!Q54/100),0)))</f>
        <v>0</v>
      </c>
      <c r="G85" s="328">
        <v>0</v>
      </c>
      <c r="H85" s="51">
        <f>($C$77*$C$79)*'SA Apr 2022'!W54/100</f>
        <v>470.18181818181819</v>
      </c>
      <c r="I85" s="52">
        <f t="shared" si="48"/>
        <v>1592.4583636363634</v>
      </c>
      <c r="J85" s="109">
        <f t="shared" si="49"/>
        <v>6056.7272727272721</v>
      </c>
      <c r="K85" s="109">
        <f t="shared" si="50"/>
        <v>6369.8334545454536</v>
      </c>
      <c r="L85" s="53">
        <f t="shared" si="51"/>
        <v>7006.8167999999996</v>
      </c>
      <c r="M85" s="54">
        <f>'SA Apr 2022'!BB54</f>
        <v>0</v>
      </c>
      <c r="N85" s="54">
        <f>'SA Apr 2022'!BC54</f>
        <v>0</v>
      </c>
      <c r="O85" s="54">
        <f>'SA Apr 2022'!BD54</f>
        <v>0</v>
      </c>
      <c r="P85" s="54">
        <f>'SA Apr 2022'!BE54</f>
        <v>0</v>
      </c>
      <c r="Q85" s="110" t="str">
        <f t="shared" si="57"/>
        <v>No discount</v>
      </c>
      <c r="R85" s="73" t="str">
        <f t="shared" si="53"/>
        <v>Exclusive</v>
      </c>
      <c r="S85" s="111">
        <f t="shared" si="55"/>
        <v>6369.8334545454536</v>
      </c>
      <c r="T85" s="112">
        <f t="shared" si="56"/>
        <v>6369.8334545454536</v>
      </c>
      <c r="U85" s="97">
        <f t="shared" si="54"/>
        <v>7006.8167999999996</v>
      </c>
      <c r="V85" s="98">
        <f t="shared" si="54"/>
        <v>7006.8167999999996</v>
      </c>
      <c r="W85" s="55">
        <f>'SA Apr 2022'!BL54</f>
        <v>0</v>
      </c>
      <c r="X85" s="56">
        <f>'SA Apr 2022'!BM54</f>
        <v>0</v>
      </c>
      <c r="Y85" s="332"/>
      <c r="Z85" s="337"/>
      <c r="AA85" s="332"/>
      <c r="AB85" s="337"/>
      <c r="AC85" s="332"/>
      <c r="AD85" s="337"/>
      <c r="AE85" s="332"/>
      <c r="AF85" s="337"/>
      <c r="AG85" s="332"/>
      <c r="AH85" s="337"/>
      <c r="AI85" s="332"/>
      <c r="AJ85" s="337"/>
      <c r="AK85" s="332"/>
      <c r="AL85" s="337"/>
      <c r="AM85" s="332"/>
      <c r="AN85" s="337"/>
      <c r="AO85" s="332"/>
      <c r="AP85" s="337"/>
      <c r="AQ85" s="332"/>
      <c r="AR85" s="337"/>
    </row>
    <row r="86" spans="1:44" ht="14" x14ac:dyDescent="0.15">
      <c r="A86" s="70" t="str">
        <f>'SA Apr 2022'!K55</f>
        <v>Momentum Energy</v>
      </c>
      <c r="B86" s="49" t="str">
        <f>'SA Apr 2022'!L55</f>
        <v>SmilePower Flexi</v>
      </c>
      <c r="C86" s="46">
        <f>IF('SA Apr 2022'!BP55=0,91*'SA Apr 2022'!M55/100,(91*'SA Apr 2022'!M55/100)+'SA Apr 2022'!BP55/4)</f>
        <v>86.325909090909079</v>
      </c>
      <c r="D86" s="46">
        <f>IF('SA Apr 2022'!O55="",$C$77*$C$78*'SA Apr 2022'!N55/100,IF($C$77*$C$78&gt;='SA Apr 2022'!P55,('SA Apr 2022'!P55*'SA Apr 2022'!N55/100),($C$77*$C$78*'SA Apr 2022'!N55/100)))</f>
        <v>1262.4545454545453</v>
      </c>
      <c r="E86" s="46">
        <f>IF(AND('SA Apr 2022'!P55&gt;0,'SA Apr 2022'!R55&gt;0),IF($C$77*$C$78&lt;'SA Apr 2022'!P55,0,IF($C$77*$C$78&lt;=('SA Apr 2022'!R55+'SA Apr 2022'!P55),(($C$77*$C$78-'SA Apr 2022'!P55)*'SA Apr 2022'!Q55/100),(('SA Apr 2022'!R55)*'SA Apr 2022'!Q55/100))),0)</f>
        <v>0</v>
      </c>
      <c r="F86" s="50">
        <f>IF(AND('SA Apr 2022'!R55&gt;0,'SA Apr 2022'!T55&gt;0),IF(($C$77*$C$78&lt;'SA Apr 2022'!T55),(0),($C$77*$C$78-'SA Apr 2022'!T55)*'SA Apr 2022'!U55/100),IF(AND('SA Apr 2022'!R55&gt;0,'SA Apr 2022'!T55=""),IF(($C$77*$C$78&lt;'SA Apr 2022'!R55+'SA Apr 2022'!P55),(0),(($C$77*$C$78-('SA Apr 2022'!R55+'SA Apr 2022'!P55))*'SA Apr 2022'!S55/100)),IF(AND('SA Apr 2022'!P55&gt;0,'SA Apr 2022'!R55=""&gt;0),IF(($C$77*$C$78&lt;'SA Apr 2022'!P55),(0),($C$77*$C$78-'SA Apr 2022'!P55)*'SA Apr 2022'!Q55/100),0)))</f>
        <v>0</v>
      </c>
      <c r="G86" s="328">
        <v>0</v>
      </c>
      <c r="H86" s="51">
        <f>($C$77*$C$79)*'SA Apr 2022'!W55/100</f>
        <v>501.81818181818176</v>
      </c>
      <c r="I86" s="52">
        <f t="shared" si="48"/>
        <v>1850.5986363636362</v>
      </c>
      <c r="J86" s="109">
        <f t="shared" si="49"/>
        <v>7057.0909090909081</v>
      </c>
      <c r="K86" s="109">
        <f t="shared" si="50"/>
        <v>7402.3945454545446</v>
      </c>
      <c r="L86" s="53">
        <f t="shared" si="51"/>
        <v>8142.634</v>
      </c>
      <c r="M86" s="54">
        <f>'SA Apr 2022'!BB55</f>
        <v>0</v>
      </c>
      <c r="N86" s="54">
        <f>'SA Apr 2022'!BC55</f>
        <v>0</v>
      </c>
      <c r="O86" s="54">
        <f>'SA Apr 2022'!BD55</f>
        <v>0</v>
      </c>
      <c r="P86" s="54">
        <f>'SA Apr 2022'!BE55</f>
        <v>0</v>
      </c>
      <c r="Q86" s="110" t="str">
        <f t="shared" si="57"/>
        <v>No discount</v>
      </c>
      <c r="R86" s="73" t="str">
        <f t="shared" si="53"/>
        <v>Exclusive</v>
      </c>
      <c r="S86" s="111">
        <f t="shared" si="55"/>
        <v>7402.3945454545446</v>
      </c>
      <c r="T86" s="112">
        <f t="shared" si="56"/>
        <v>7402.3945454545446</v>
      </c>
      <c r="U86" s="97">
        <f t="shared" si="54"/>
        <v>8142.634</v>
      </c>
      <c r="V86" s="98">
        <f t="shared" si="54"/>
        <v>8142.634</v>
      </c>
      <c r="W86" s="55">
        <f>'SA Apr 2022'!BL55</f>
        <v>0</v>
      </c>
      <c r="X86" s="56">
        <f>'SA Apr 2022'!BM55</f>
        <v>0</v>
      </c>
      <c r="Y86" s="332"/>
      <c r="Z86" s="337"/>
      <c r="AA86" s="332"/>
      <c r="AB86" s="337"/>
      <c r="AC86" s="332"/>
      <c r="AD86" s="337"/>
      <c r="AE86" s="332"/>
      <c r="AF86" s="337"/>
      <c r="AG86" s="332"/>
      <c r="AH86" s="337"/>
      <c r="AI86" s="332"/>
      <c r="AJ86" s="337"/>
      <c r="AK86" s="332"/>
      <c r="AL86" s="337"/>
      <c r="AM86" s="332"/>
      <c r="AN86" s="337"/>
      <c r="AO86" s="332"/>
      <c r="AP86" s="337"/>
      <c r="AQ86" s="332"/>
      <c r="AR86" s="337"/>
    </row>
    <row r="87" spans="1:44" ht="14" x14ac:dyDescent="0.15">
      <c r="A87" s="70" t="str">
        <f>'SA Apr 2022'!K56</f>
        <v>Origin Energy</v>
      </c>
      <c r="B87" s="49" t="str">
        <f>'SA Apr 2022'!L56</f>
        <v>Go Variable</v>
      </c>
      <c r="C87" s="46">
        <f>IF('SA Apr 2022'!BP56=0,91*'SA Apr 2022'!M56/100,(91*'SA Apr 2022'!M56/100)+'SA Apr 2022'!BP56/4)</f>
        <v>72.84963636363635</v>
      </c>
      <c r="D87" s="46">
        <f>IF('SA Apr 2022'!O56="",$C$77*$C$78*'SA Apr 2022'!N56/100,IF($C$77*$C$78&gt;='SA Apr 2022'!P56,('SA Apr 2022'!P56*'SA Apr 2022'!N56/100),($C$77*$C$78*'SA Apr 2022'!N56/100)))</f>
        <v>988.36363636363637</v>
      </c>
      <c r="E87" s="46">
        <f>IF(AND('SA Apr 2022'!P56&gt;0,'SA Apr 2022'!R56&gt;0),IF($C$77*$C$78&lt;'SA Apr 2022'!P56,0,IF($C$77*$C$78&lt;=('SA Apr 2022'!R56+'SA Apr 2022'!P56),(($C$77*$C$78-'SA Apr 2022'!P56)*'SA Apr 2022'!Q56/100),(('SA Apr 2022'!R56)*'SA Apr 2022'!Q56/100))),0)</f>
        <v>0</v>
      </c>
      <c r="F87" s="50">
        <f>IF(AND('SA Apr 2022'!R56&gt;0,'SA Apr 2022'!T56&gt;0),IF(($C$77*$C$78&lt;'SA Apr 2022'!T56),(0),($C$77*$C$78-'SA Apr 2022'!T56)*'SA Apr 2022'!U56/100),IF(AND('SA Apr 2022'!R56&gt;0,'SA Apr 2022'!T56=""),IF(($C$77*$C$78&lt;'SA Apr 2022'!R56+'SA Apr 2022'!P56),(0),(($C$77*$C$78-('SA Apr 2022'!R56+'SA Apr 2022'!P56))*'SA Apr 2022'!S56/100)),IF(AND('SA Apr 2022'!P56&gt;0,'SA Apr 2022'!R56=""&gt;0),IF(($C$77*$C$78&lt;'SA Apr 2022'!P56),(0),($C$77*$C$78-'SA Apr 2022'!P56)*'SA Apr 2022'!Q56/100),0)))</f>
        <v>0</v>
      </c>
      <c r="G87" s="328">
        <v>0</v>
      </c>
      <c r="H87" s="51">
        <f>($C$77*$C$79)*'SA Apr 2022'!W56/100</f>
        <v>405.81818181818176</v>
      </c>
      <c r="I87" s="52">
        <f t="shared" si="48"/>
        <v>1467.0314545454544</v>
      </c>
      <c r="J87" s="109">
        <f t="shared" si="49"/>
        <v>5576.7272727272721</v>
      </c>
      <c r="K87" s="109">
        <f t="shared" si="50"/>
        <v>5868.1258181818175</v>
      </c>
      <c r="L87" s="53">
        <f t="shared" si="51"/>
        <v>6454.9384</v>
      </c>
      <c r="M87" s="54">
        <f>'SA Apr 2022'!BB56</f>
        <v>0</v>
      </c>
      <c r="N87" s="54">
        <f>'SA Apr 2022'!BC56</f>
        <v>0</v>
      </c>
      <c r="O87" s="54">
        <f>'SA Apr 2022'!BD56</f>
        <v>0</v>
      </c>
      <c r="P87" s="54">
        <f>'SA Apr 2022'!BE56</f>
        <v>0</v>
      </c>
      <c r="Q87" s="110" t="str">
        <f t="shared" si="57"/>
        <v>No discount</v>
      </c>
      <c r="R87" s="73" t="str">
        <f t="shared" si="53"/>
        <v>Inclusive</v>
      </c>
      <c r="S87" s="111">
        <f t="shared" si="55"/>
        <v>5868.1258181818175</v>
      </c>
      <c r="T87" s="112">
        <f t="shared" si="56"/>
        <v>5868.1258181818175</v>
      </c>
      <c r="U87" s="97">
        <f t="shared" si="54"/>
        <v>6454.9384</v>
      </c>
      <c r="V87" s="98">
        <f t="shared" si="54"/>
        <v>6454.9384</v>
      </c>
      <c r="W87" s="55">
        <f>'SA Apr 2022'!BL56</f>
        <v>0</v>
      </c>
      <c r="X87" s="56">
        <f>'SA Apr 2022'!BM56</f>
        <v>0</v>
      </c>
      <c r="Y87" s="332"/>
      <c r="Z87" s="337"/>
      <c r="AA87" s="332"/>
      <c r="AB87" s="337"/>
      <c r="AC87" s="332"/>
      <c r="AD87" s="337"/>
      <c r="AE87" s="332"/>
      <c r="AF87" s="337"/>
      <c r="AG87" s="332"/>
      <c r="AH87" s="337"/>
      <c r="AI87" s="332"/>
      <c r="AJ87" s="337"/>
      <c r="AK87" s="332"/>
      <c r="AL87" s="337"/>
      <c r="AM87" s="332"/>
      <c r="AN87" s="337"/>
      <c r="AO87" s="332"/>
      <c r="AP87" s="337"/>
      <c r="AQ87" s="332"/>
      <c r="AR87" s="337"/>
    </row>
    <row r="88" spans="1:44" ht="14" x14ac:dyDescent="0.15">
      <c r="A88" s="70" t="str">
        <f>'SA Apr 2022'!K57</f>
        <v>Red Energy</v>
      </c>
      <c r="B88" s="49" t="str">
        <f>'SA Apr 2022'!L57</f>
        <v>Red Business Saver</v>
      </c>
      <c r="C88" s="46">
        <f>IF('SA Apr 2022'!BP57=0,91*'SA Apr 2022'!M57/100,(91*'SA Apr 2022'!M57/100)+'SA Apr 2022'!BP57/4)</f>
        <v>78.276545454545442</v>
      </c>
      <c r="D88" s="46">
        <f>IF('SA Apr 2022'!O57="",$C$77*$C$78*'SA Apr 2022'!N57/100,IF($C$77*$C$78&gt;='SA Apr 2022'!P57,('SA Apr 2022'!P57*'SA Apr 2022'!N57/100),($C$77*$C$78*'SA Apr 2022'!N57/100)))</f>
        <v>1043.9999999999998</v>
      </c>
      <c r="E88" s="46">
        <f>IF(AND('SA Apr 2022'!P57&gt;0,'SA Apr 2022'!R57&gt;0),IF($C$77*$C$78&lt;'SA Apr 2022'!P57,0,IF($C$77*$C$78&lt;=('SA Apr 2022'!R57+'SA Apr 2022'!P57),(($C$77*$C$78-'SA Apr 2022'!P57)*'SA Apr 2022'!Q57/100),(('SA Apr 2022'!R57)*'SA Apr 2022'!Q57/100))),0)</f>
        <v>0</v>
      </c>
      <c r="F88" s="50">
        <f>IF(AND('SA Apr 2022'!R57&gt;0,'SA Apr 2022'!T57&gt;0),IF(($C$77*$C$78&lt;'SA Apr 2022'!T57),(0),($C$77*$C$78-'SA Apr 2022'!T57)*'SA Apr 2022'!U57/100),IF(AND('SA Apr 2022'!R57&gt;0,'SA Apr 2022'!T57=""),IF(($C$77*$C$78&lt;'SA Apr 2022'!R57+'SA Apr 2022'!P57),(0),(($C$77*$C$78-('SA Apr 2022'!R57+'SA Apr 2022'!P57))*'SA Apr 2022'!S57/100)),IF(AND('SA Apr 2022'!P57&gt;0,'SA Apr 2022'!R57=""&gt;0),IF(($C$77*$C$78&lt;'SA Apr 2022'!P57),(0),($C$77*$C$78-'SA Apr 2022'!P57)*'SA Apr 2022'!Q57/100),0)))</f>
        <v>0</v>
      </c>
      <c r="G88" s="328">
        <v>0</v>
      </c>
      <c r="H88" s="51">
        <f>($C$77*$C$79)*'SA Apr 2022'!W57/100</f>
        <v>470.18181818181819</v>
      </c>
      <c r="I88" s="52">
        <f t="shared" si="48"/>
        <v>1592.4583636363634</v>
      </c>
      <c r="J88" s="109">
        <f t="shared" si="49"/>
        <v>6056.7272727272721</v>
      </c>
      <c r="K88" s="109">
        <f t="shared" si="50"/>
        <v>6369.8334545454536</v>
      </c>
      <c r="L88" s="53">
        <f t="shared" si="51"/>
        <v>7006.8167999999996</v>
      </c>
      <c r="M88" s="54">
        <f>'SA Apr 2022'!BB57</f>
        <v>0</v>
      </c>
      <c r="N88" s="54">
        <f>'SA Apr 2022'!BC57</f>
        <v>0</v>
      </c>
      <c r="O88" s="54">
        <f>'SA Apr 2022'!BD57</f>
        <v>0</v>
      </c>
      <c r="P88" s="54">
        <f>'SA Apr 2022'!BE57</f>
        <v>0</v>
      </c>
      <c r="Q88" s="110" t="str">
        <f t="shared" si="57"/>
        <v>No discount</v>
      </c>
      <c r="R88" s="73" t="str">
        <f t="shared" si="53"/>
        <v>Inclusive</v>
      </c>
      <c r="S88" s="111">
        <f t="shared" si="55"/>
        <v>6369.8334545454536</v>
      </c>
      <c r="T88" s="112">
        <f t="shared" si="56"/>
        <v>6369.8334545454536</v>
      </c>
      <c r="U88" s="97">
        <f t="shared" si="54"/>
        <v>7006.8167999999996</v>
      </c>
      <c r="V88" s="98">
        <f t="shared" si="54"/>
        <v>7006.8167999999996</v>
      </c>
      <c r="W88" s="55">
        <f>'SA Apr 2022'!BL57</f>
        <v>0</v>
      </c>
      <c r="X88" s="56">
        <f>'SA Apr 2022'!BM57</f>
        <v>0</v>
      </c>
      <c r="Y88" s="332"/>
      <c r="Z88" s="337"/>
      <c r="AA88" s="332"/>
      <c r="AB88" s="337"/>
      <c r="AC88" s="332"/>
      <c r="AD88" s="337"/>
      <c r="AE88" s="332"/>
      <c r="AF88" s="337"/>
      <c r="AG88" s="332"/>
      <c r="AH88" s="337"/>
      <c r="AI88" s="332"/>
      <c r="AJ88" s="337"/>
      <c r="AK88" s="332"/>
      <c r="AL88" s="337"/>
      <c r="AM88" s="332"/>
      <c r="AN88" s="337"/>
      <c r="AO88" s="332"/>
      <c r="AP88" s="337"/>
      <c r="AQ88" s="332"/>
      <c r="AR88" s="337"/>
    </row>
    <row r="89" spans="1:44" ht="14" x14ac:dyDescent="0.15">
      <c r="A89" s="70" t="str">
        <f>'SA Apr 2022'!K58</f>
        <v>Simply Energy</v>
      </c>
      <c r="B89" s="49" t="str">
        <f>'SA Apr 2022'!L58</f>
        <v>Business Saver - 18% off</v>
      </c>
      <c r="C89" s="46">
        <f>IF('SA Apr 2022'!BP58=0,91*'SA Apr 2022'!M58/100,(91*'SA Apr 2022'!M58/100)+'SA Apr 2022'!BP58/4)</f>
        <v>84.340454545454534</v>
      </c>
      <c r="D89" s="46">
        <f>IF('SA Apr 2022'!O58="",$C$77*$C$78*'SA Apr 2022'!N58/100,IF($C$77*$C$78&gt;='SA Apr 2022'!P58,('SA Apr 2022'!P58*'SA Apr 2022'!N58/100),($C$77*$C$78*'SA Apr 2022'!N58/100)))</f>
        <v>1202.9999999999998</v>
      </c>
      <c r="E89" s="46">
        <f>IF(AND('SA Apr 2022'!P58&gt;0,'SA Apr 2022'!R58&gt;0),IF($C$77*$C$78&lt;'SA Apr 2022'!P58,0,IF($C$77*$C$78&lt;=('SA Apr 2022'!R58+'SA Apr 2022'!P58),(($C$77*$C$78-'SA Apr 2022'!P58)*'SA Apr 2022'!Q58/100),(('SA Apr 2022'!R58)*'SA Apr 2022'!Q58/100))),0)</f>
        <v>0</v>
      </c>
      <c r="F89" s="50">
        <f>IF(AND('SA Apr 2022'!R58&gt;0,'SA Apr 2022'!T58&gt;0),IF(($C$77*$C$78&lt;'SA Apr 2022'!T58),(0),($C$77*$C$78-'SA Apr 2022'!T58)*'SA Apr 2022'!U58/100),IF(AND('SA Apr 2022'!R58&gt;0,'SA Apr 2022'!T58=""),IF(($C$77*$C$78&lt;'SA Apr 2022'!R58+'SA Apr 2022'!P58),(0),(($C$77*$C$78-('SA Apr 2022'!R58+'SA Apr 2022'!P58))*'SA Apr 2022'!S58/100)),IF(AND('SA Apr 2022'!P58&gt;0,'SA Apr 2022'!R58=""&gt;0),IF(($C$77*$C$78&lt;'SA Apr 2022'!P58),(0),($C$77*$C$78-'SA Apr 2022'!P58)*'SA Apr 2022'!Q58/100),0)))</f>
        <v>0</v>
      </c>
      <c r="G89" s="328">
        <v>0</v>
      </c>
      <c r="H89" s="51">
        <f>($C$77*$C$79)*'SA Apr 2022'!W58/100</f>
        <v>471.81818181818176</v>
      </c>
      <c r="I89" s="52">
        <f t="shared" si="48"/>
        <v>1759.1586363636361</v>
      </c>
      <c r="J89" s="109">
        <f t="shared" si="49"/>
        <v>6699.2727272727261</v>
      </c>
      <c r="K89" s="109">
        <f t="shared" si="50"/>
        <v>7036.6345454545444</v>
      </c>
      <c r="L89" s="53">
        <f t="shared" si="51"/>
        <v>7740.2979999999998</v>
      </c>
      <c r="M89" s="54">
        <f>'SA Apr 2022'!BB58</f>
        <v>18</v>
      </c>
      <c r="N89" s="54">
        <f>'SA Apr 2022'!BC58</f>
        <v>0</v>
      </c>
      <c r="O89" s="54">
        <f>'SA Apr 2022'!BD58</f>
        <v>0</v>
      </c>
      <c r="P89" s="54">
        <f>'SA Apr 2022'!BE58</f>
        <v>0</v>
      </c>
      <c r="Q89" s="110" t="str">
        <f t="shared" si="57"/>
        <v>Guaranteed off bill</v>
      </c>
      <c r="R89" s="73" t="str">
        <f t="shared" si="53"/>
        <v>Exclusive</v>
      </c>
      <c r="S89" s="111">
        <f t="shared" si="55"/>
        <v>5770.0403272727262</v>
      </c>
      <c r="T89" s="112">
        <f t="shared" si="56"/>
        <v>5770.0403272727262</v>
      </c>
      <c r="U89" s="97">
        <f t="shared" si="54"/>
        <v>6347.044359999999</v>
      </c>
      <c r="V89" s="98">
        <f t="shared" si="54"/>
        <v>6347.044359999999</v>
      </c>
      <c r="W89" s="55">
        <f>'SA Apr 2022'!BL58</f>
        <v>0</v>
      </c>
      <c r="X89" s="56">
        <f>'SA Apr 2022'!BM58</f>
        <v>0</v>
      </c>
      <c r="Y89" s="332"/>
      <c r="Z89" s="337"/>
      <c r="AA89" s="332"/>
      <c r="AB89" s="337"/>
      <c r="AC89" s="332"/>
      <c r="AD89" s="337"/>
      <c r="AE89" s="332"/>
      <c r="AF89" s="337"/>
      <c r="AG89" s="332"/>
      <c r="AH89" s="337"/>
      <c r="AI89" s="332"/>
      <c r="AJ89" s="337"/>
      <c r="AK89" s="332"/>
      <c r="AL89" s="337"/>
      <c r="AM89" s="332"/>
      <c r="AN89" s="337"/>
      <c r="AO89" s="332"/>
      <c r="AP89" s="337"/>
      <c r="AQ89" s="332"/>
      <c r="AR89" s="337"/>
    </row>
    <row r="90" spans="1:44" ht="14" x14ac:dyDescent="0.15">
      <c r="A90" s="70" t="str">
        <f>'SA Apr 2022'!K59</f>
        <v>Powershop</v>
      </c>
      <c r="B90" s="49" t="str">
        <f>'SA Apr 2022'!L59</f>
        <v>100% Carbon Neutral</v>
      </c>
      <c r="C90" s="46">
        <f>IF('SA Apr 2022'!BP59=0,91*'SA Apr 2022'!M59/100,(91*'SA Apr 2022'!M59/100)+'SA Apr 2022'!BP59/4)</f>
        <v>100.09999999999998</v>
      </c>
      <c r="D90" s="46">
        <f>IF('SA Apr 2022'!O59="",$C$77*$C$78*'SA Apr 2022'!N59/100,IF($C$77*$C$78&gt;='SA Apr 2022'!P59,('SA Apr 2022'!P59*'SA Apr 2022'!N59/100),($C$77*$C$78*'SA Apr 2022'!N59/100)))</f>
        <v>960</v>
      </c>
      <c r="E90" s="46">
        <f>IF(AND('SA Apr 2022'!P59&gt;0,'SA Apr 2022'!R59&gt;0),IF($C$77*$C$78&lt;'SA Apr 2022'!P59,0,IF($C$77*$C$78&lt;=('SA Apr 2022'!R59+'SA Apr 2022'!P59),(($C$77*$C$78-'SA Apr 2022'!P59)*'SA Apr 2022'!Q59/100),(('SA Apr 2022'!R59)*'SA Apr 2022'!Q59/100))),0)</f>
        <v>0</v>
      </c>
      <c r="F90" s="50">
        <f>IF(AND('SA Apr 2022'!R59&gt;0,'SA Apr 2022'!T59&gt;0),IF(($C$77*$C$78&lt;'SA Apr 2022'!T59),(0),($C$77*$C$78-'SA Apr 2022'!T59)*'SA Apr 2022'!U59/100),IF(AND('SA Apr 2022'!R59&gt;0,'SA Apr 2022'!T59=""),IF(($C$77*$C$78&lt;'SA Apr 2022'!R59+'SA Apr 2022'!P59),(0),(($C$77*$C$78-('SA Apr 2022'!R59+'SA Apr 2022'!P59))*'SA Apr 2022'!S59/100)),IF(AND('SA Apr 2022'!P59&gt;0,'SA Apr 2022'!R59=""&gt;0),IF(($C$77*$C$78&lt;'SA Apr 2022'!P59),(0),($C$77*$C$78-'SA Apr 2022'!P59)*'SA Apr 2022'!Q59/100),0)))</f>
        <v>0</v>
      </c>
      <c r="G90" s="328">
        <v>0</v>
      </c>
      <c r="H90" s="51">
        <f>($C$77*$C$79)*'SA Apr 2022'!W59/100</f>
        <v>460</v>
      </c>
      <c r="I90" s="52">
        <f t="shared" si="48"/>
        <v>1520.1</v>
      </c>
      <c r="J90" s="109">
        <f t="shared" si="49"/>
        <v>5680</v>
      </c>
      <c r="K90" s="109">
        <f t="shared" si="50"/>
        <v>6080.4</v>
      </c>
      <c r="L90" s="53">
        <f t="shared" si="51"/>
        <v>6688.4400000000005</v>
      </c>
      <c r="M90" s="54">
        <f>'SA Apr 2022'!BB59</f>
        <v>0</v>
      </c>
      <c r="N90" s="54">
        <f>'SA Apr 2022'!BC59</f>
        <v>0</v>
      </c>
      <c r="O90" s="54">
        <f>'SA Apr 2022'!BD59</f>
        <v>0</v>
      </c>
      <c r="P90" s="54">
        <f>'SA Apr 2022'!BE59</f>
        <v>0</v>
      </c>
      <c r="Q90" s="110" t="str">
        <f t="shared" ref="Q90:Q92" si="58">IF(SUM(M90:P90)=0,"No discount",IF(M90&gt;0,"Guaranteed off bill",IF(N90&gt;0,"Guaranteed off usage",IF(O90&gt;0,"Pay-on-time off bill","Pay-on-time off usage"))))</f>
        <v>No discount</v>
      </c>
      <c r="R90" s="73" t="str">
        <f t="shared" si="53"/>
        <v>Inclusive</v>
      </c>
      <c r="S90" s="111">
        <f t="shared" si="55"/>
        <v>6080.4</v>
      </c>
      <c r="T90" s="112">
        <f t="shared" si="56"/>
        <v>6080.4</v>
      </c>
      <c r="U90" s="97">
        <f t="shared" si="54"/>
        <v>6688.4400000000005</v>
      </c>
      <c r="V90" s="98">
        <f t="shared" si="54"/>
        <v>6688.4400000000005</v>
      </c>
      <c r="W90" s="55">
        <f>'SA Apr 2022'!BL59</f>
        <v>0</v>
      </c>
      <c r="X90" s="56">
        <f>'SA Apr 2022'!BM59</f>
        <v>0</v>
      </c>
      <c r="Y90" s="332"/>
      <c r="Z90" s="332"/>
      <c r="AA90" s="332"/>
      <c r="AB90" s="332"/>
      <c r="AC90" s="332"/>
      <c r="AD90" s="332"/>
      <c r="AE90" s="332"/>
      <c r="AF90" s="332"/>
      <c r="AG90" s="332"/>
      <c r="AH90" s="332"/>
      <c r="AI90" s="332"/>
      <c r="AJ90" s="332"/>
      <c r="AK90" s="332"/>
      <c r="AL90" s="332"/>
      <c r="AM90" s="332"/>
      <c r="AN90" s="332"/>
      <c r="AO90" s="332"/>
      <c r="AP90" s="332"/>
      <c r="AQ90" s="332"/>
      <c r="AR90" s="332"/>
    </row>
    <row r="91" spans="1:44" ht="14" x14ac:dyDescent="0.15">
      <c r="A91" s="70" t="str">
        <f>'SA Apr 2022'!K60</f>
        <v>Energy Locals</v>
      </c>
      <c r="B91" s="49" t="str">
        <f>'SA Apr 2022'!L60</f>
        <v>Business Member</v>
      </c>
      <c r="C91" s="46">
        <f>IF('SA Apr 2022'!BP60=0,91*'SA Apr 2022'!M60/100,(91*'SA Apr 2022'!M60/100)+'SA Apr 2022'!BP60/4)</f>
        <v>104.59545454545454</v>
      </c>
      <c r="D91" s="46">
        <f>IF('SA Apr 2022'!O60="",$C$77*$C$78*'SA Apr 2022'!N60/100,IF($C$77*$C$78&gt;='SA Apr 2022'!P60,('SA Apr 2022'!P60*'SA Apr 2022'!N60/100),($C$77*$C$78*'SA Apr 2022'!N60/100)))</f>
        <v>831.81818181818176</v>
      </c>
      <c r="E91" s="46">
        <f>IF(AND('SA Apr 2022'!P60&gt;0,'SA Apr 2022'!R60&gt;0),IF($C$77*$C$78&lt;'SA Apr 2022'!P60,0,IF($C$77*$C$78&lt;=('SA Apr 2022'!R60+'SA Apr 2022'!P60),(($C$77*$C$78-'SA Apr 2022'!P60)*'SA Apr 2022'!Q60/100),(('SA Apr 2022'!R60)*'SA Apr 2022'!Q60/100))),0)</f>
        <v>0</v>
      </c>
      <c r="F91" s="50">
        <f>IF(AND('SA Apr 2022'!R60&gt;0,'SA Apr 2022'!T60&gt;0),IF(($C$77*$C$78&lt;'SA Apr 2022'!T60),(0),($C$77*$C$78-'SA Apr 2022'!T60)*'SA Apr 2022'!U60/100),IF(AND('SA Apr 2022'!R60&gt;0,'SA Apr 2022'!T60=""),IF(($C$77*$C$78&lt;'SA Apr 2022'!R60+'SA Apr 2022'!P60),(0),(($C$77*$C$78-('SA Apr 2022'!R60+'SA Apr 2022'!P60))*'SA Apr 2022'!S60/100)),IF(AND('SA Apr 2022'!P60&gt;0,'SA Apr 2022'!R60=""&gt;0),IF(($C$77*$C$78&lt;'SA Apr 2022'!P60),(0),($C$77*$C$78-'SA Apr 2022'!P60)*'SA Apr 2022'!Q60/100),0)))</f>
        <v>0</v>
      </c>
      <c r="G91" s="328">
        <v>0</v>
      </c>
      <c r="H91" s="51">
        <f>($C$77*$C$79)*'SA Apr 2022'!W60/100</f>
        <v>381.81818181818176</v>
      </c>
      <c r="I91" s="52">
        <f t="shared" si="48"/>
        <v>1318.2318181818182</v>
      </c>
      <c r="J91" s="109">
        <f t="shared" si="49"/>
        <v>4854.545454545455</v>
      </c>
      <c r="K91" s="109">
        <f t="shared" si="50"/>
        <v>5272.9272727272728</v>
      </c>
      <c r="L91" s="53">
        <f t="shared" si="51"/>
        <v>5800.22</v>
      </c>
      <c r="M91" s="54">
        <f>'SA Apr 2022'!BB60</f>
        <v>0</v>
      </c>
      <c r="N91" s="54">
        <f>'SA Apr 2022'!BC60</f>
        <v>0</v>
      </c>
      <c r="O91" s="54">
        <f>'SA Apr 2022'!BD60</f>
        <v>0</v>
      </c>
      <c r="P91" s="54">
        <f>'SA Apr 2022'!BE60</f>
        <v>0</v>
      </c>
      <c r="Q91" s="110" t="str">
        <f t="shared" si="58"/>
        <v>No discount</v>
      </c>
      <c r="R91" s="73" t="str">
        <f t="shared" si="53"/>
        <v>Exclusive</v>
      </c>
      <c r="S91" s="111">
        <f t="shared" si="55"/>
        <v>5272.9272727272728</v>
      </c>
      <c r="T91" s="112">
        <f t="shared" si="56"/>
        <v>5272.9272727272728</v>
      </c>
      <c r="U91" s="97">
        <f t="shared" si="54"/>
        <v>5800.22</v>
      </c>
      <c r="V91" s="98">
        <f t="shared" si="54"/>
        <v>5800.22</v>
      </c>
      <c r="W91" s="55">
        <f>'SA Apr 2022'!BL60</f>
        <v>0</v>
      </c>
      <c r="X91" s="56">
        <f>'SA Apr 2022'!BM60</f>
        <v>0</v>
      </c>
      <c r="Y91" s="332"/>
      <c r="Z91" s="332"/>
      <c r="AA91" s="332"/>
      <c r="AB91" s="332"/>
      <c r="AC91" s="332"/>
      <c r="AD91" s="332"/>
      <c r="AE91" s="332"/>
      <c r="AF91" s="332"/>
      <c r="AG91" s="332"/>
      <c r="AH91" s="332"/>
      <c r="AI91" s="332"/>
      <c r="AJ91" s="332"/>
      <c r="AK91" s="332"/>
      <c r="AL91" s="332"/>
      <c r="AM91" s="332"/>
      <c r="AN91" s="332"/>
      <c r="AO91" s="332"/>
      <c r="AP91" s="332"/>
      <c r="AQ91" s="332"/>
      <c r="AR91" s="332"/>
    </row>
    <row r="92" spans="1:44" ht="14" x14ac:dyDescent="0.15">
      <c r="A92" s="70" t="str">
        <f>'SA Apr 2022'!K61</f>
        <v>Discover Energy</v>
      </c>
      <c r="B92" s="49" t="str">
        <f>'SA Apr 2022'!L61</f>
        <v>Smart Saver</v>
      </c>
      <c r="C92" s="46">
        <f>IF('SA Apr 2022'!BP61=0,91*'SA Apr 2022'!M61/100,(91*'SA Apr 2022'!M61/100)+'SA Apr 2022'!BP61/4)</f>
        <v>81.899999999999991</v>
      </c>
      <c r="D92" s="46">
        <f>IF('SA Apr 2022'!O61="",$C$77*$C$78*'SA Apr 2022'!N61/100,IF($C$77*$C$78&gt;='SA Apr 2022'!P61,('SA Apr 2022'!P61*'SA Apr 2022'!N61/100),($C$77*$C$78*'SA Apr 2022'!N61/100)))</f>
        <v>1200</v>
      </c>
      <c r="E92" s="46">
        <f>IF(AND('SA Apr 2022'!P61&gt;0,'SA Apr 2022'!R61&gt;0),IF($C$77*$C$78&lt;'SA Apr 2022'!P61,0,IF($C$77*$C$78&lt;=('SA Apr 2022'!R61+'SA Apr 2022'!P61),(($C$77*$C$78-'SA Apr 2022'!P61)*'SA Apr 2022'!Q61/100),(('SA Apr 2022'!R61)*'SA Apr 2022'!Q61/100))),0)</f>
        <v>0</v>
      </c>
      <c r="F92" s="50">
        <f>IF(AND('SA Apr 2022'!R61&gt;0,'SA Apr 2022'!T61&gt;0),IF(($C$77*$C$78&lt;'SA Apr 2022'!T61),(0),($C$77*$C$78-'SA Apr 2022'!T61)*'SA Apr 2022'!U61/100),IF(AND('SA Apr 2022'!R61&gt;0,'SA Apr 2022'!T61=""),IF(($C$77*$C$78&lt;'SA Apr 2022'!R61+'SA Apr 2022'!P61),(0),(($C$77*$C$78-('SA Apr 2022'!R61+'SA Apr 2022'!P61))*'SA Apr 2022'!S61/100)),IF(AND('SA Apr 2022'!P61&gt;0,'SA Apr 2022'!R61=""&gt;0),IF(($C$77*$C$78&lt;'SA Apr 2022'!P61),(0),($C$77*$C$78-'SA Apr 2022'!P61)*'SA Apr 2022'!Q61/100),0)))</f>
        <v>0</v>
      </c>
      <c r="G92" s="328">
        <v>0</v>
      </c>
      <c r="H92" s="51">
        <f>($C$77*$C$79)*'SA Apr 2022'!W61/100</f>
        <v>479.99999999999994</v>
      </c>
      <c r="I92" s="52">
        <f t="shared" si="48"/>
        <v>1761.9</v>
      </c>
      <c r="J92" s="109">
        <f t="shared" si="49"/>
        <v>6720</v>
      </c>
      <c r="K92" s="109">
        <f t="shared" si="50"/>
        <v>7047.6</v>
      </c>
      <c r="L92" s="53">
        <f>K92*1.1</f>
        <v>7752.3600000000006</v>
      </c>
      <c r="M92" s="54">
        <f>'SA Apr 2022'!BB61</f>
        <v>0</v>
      </c>
      <c r="N92" s="54">
        <f>'SA Apr 2022'!BC61</f>
        <v>15</v>
      </c>
      <c r="O92" s="54">
        <f>'SA Apr 2022'!BD61</f>
        <v>0</v>
      </c>
      <c r="P92" s="54">
        <f>'SA Apr 2022'!BE61</f>
        <v>0</v>
      </c>
      <c r="Q92" s="110" t="str">
        <f t="shared" si="58"/>
        <v>Guaranteed off usage</v>
      </c>
      <c r="R92" s="73" t="str">
        <f t="shared" si="53"/>
        <v>Exclusive</v>
      </c>
      <c r="S92" s="111">
        <f t="shared" si="55"/>
        <v>6039.6</v>
      </c>
      <c r="T92" s="112">
        <f t="shared" si="56"/>
        <v>6039.6</v>
      </c>
      <c r="U92" s="97">
        <f t="shared" si="54"/>
        <v>6643.5600000000013</v>
      </c>
      <c r="V92" s="98">
        <f t="shared" si="54"/>
        <v>6643.5600000000013</v>
      </c>
      <c r="W92" s="55">
        <f>'SA Apr 2022'!BL61</f>
        <v>0</v>
      </c>
      <c r="X92" s="56">
        <f>'SA Apr 2022'!BM61</f>
        <v>0</v>
      </c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</row>
    <row r="93" spans="1:44" ht="14" x14ac:dyDescent="0.15">
      <c r="A93" s="70" t="str">
        <f>'SA Apr 2022'!K62</f>
        <v>ReAmped Energy</v>
      </c>
      <c r="B93" s="49" t="str">
        <f>'SA Apr 2022'!L62</f>
        <v>Business</v>
      </c>
      <c r="C93" s="46">
        <f>IF('SA Apr 2022'!BP62=0,91*'SA Apr 2022'!M62/100,(91*'SA Apr 2022'!M62/100)+'SA Apr 2022'!BP62/4)</f>
        <v>62.061999999999991</v>
      </c>
      <c r="D93" s="46">
        <f>IF('SA Apr 2022'!O62="",$C$77*$C$78*'SA Apr 2022'!N62/100,IF($C$77*$C$78&gt;='SA Apr 2022'!P62,('SA Apr 2022'!P62*'SA Apr 2022'!N62/100),($C$77*$C$78*'SA Apr 2022'!N62/100)))</f>
        <v>845.18181818181813</v>
      </c>
      <c r="E93" s="46">
        <f>IF(AND('SA Apr 2022'!P62&gt;0,'SA Apr 2022'!R62&gt;0),IF($C$77*$C$78&lt;'SA Apr 2022'!P62,0,IF($C$77*$C$78&lt;=('SA Apr 2022'!R62+'SA Apr 2022'!P62),(($C$77*$C$78-'SA Apr 2022'!P62)*'SA Apr 2022'!Q62/100),(('SA Apr 2022'!R62)*'SA Apr 2022'!Q62/100))),0)</f>
        <v>0</v>
      </c>
      <c r="F93" s="50">
        <f>IF(AND('SA Apr 2022'!R62&gt;0,'SA Apr 2022'!T62&gt;0),IF(($C$77*$C$78&lt;'SA Apr 2022'!T62),(0),($C$77*$C$78-'SA Apr 2022'!T62)*'SA Apr 2022'!U62/100),IF(AND('SA Apr 2022'!R62&gt;0,'SA Apr 2022'!T62=""),IF(($C$77*$C$78&lt;'SA Apr 2022'!R62+'SA Apr 2022'!P62),(0),(($C$77*$C$78-('SA Apr 2022'!R62+'SA Apr 2022'!P62))*'SA Apr 2022'!S62/100)),IF(AND('SA Apr 2022'!P62&gt;0,'SA Apr 2022'!R62=""&gt;0),IF(($C$77*$C$78&lt;'SA Apr 2022'!P62),(0),($C$77*$C$78-'SA Apr 2022'!P62)*'SA Apr 2022'!Q62/100),0)))</f>
        <v>0</v>
      </c>
      <c r="G93" s="328">
        <v>0</v>
      </c>
      <c r="H93" s="51">
        <f>($C$77*$C$79)*'SA Apr 2022'!W62/100</f>
        <v>379.45454545454544</v>
      </c>
      <c r="I93" s="52">
        <f t="shared" si="48"/>
        <v>1286.6983636363636</v>
      </c>
      <c r="J93" s="109">
        <f t="shared" ref="J93:J97" si="59">(I93-C93)*4</f>
        <v>4898.545454545455</v>
      </c>
      <c r="K93" s="109">
        <f t="shared" ref="K93:K97" si="60">I93*4</f>
        <v>5146.7934545454546</v>
      </c>
      <c r="L93" s="53">
        <f t="shared" ref="L93:L97" si="61">K93*1.1</f>
        <v>5661.4728000000005</v>
      </c>
      <c r="M93" s="54">
        <f>'SA Apr 2022'!BB62</f>
        <v>0</v>
      </c>
      <c r="N93" s="54">
        <f>'SA Apr 2022'!BC62</f>
        <v>0</v>
      </c>
      <c r="O93" s="54">
        <f>'SA Apr 2022'!BD62</f>
        <v>0</v>
      </c>
      <c r="P93" s="54">
        <f>'SA Apr 2022'!BE62</f>
        <v>0</v>
      </c>
      <c r="Q93" s="110" t="str">
        <f t="shared" ref="Q93:Q97" si="62">IF(SUM(M93:P93)=0,"No discount",IF(M93&gt;0,"Guaranteed off bill",IF(N93&gt;0,"Guaranteed off usage",IF(O93&gt;0,"Pay-on-time off bill","Pay-on-time off usage"))))</f>
        <v>No discount</v>
      </c>
      <c r="R93" s="73" t="str">
        <f t="shared" ref="R93:R97" si="63">IF(OR(A93="Origin Energy",A93="Red Energy",A93="Powershop"),"Inclusive","Exclusive")</f>
        <v>Exclusive</v>
      </c>
      <c r="S93" s="111">
        <f t="shared" ref="S93:S97" si="64">IF(AND(Q93="Guaranteed off bill",R93="Inclusive"),((K93*1.1)-((K93*1.1)*M93/100))/1.1,IF(AND(Q93="Guaranteed off usage",R93="Inclusive"),((K93*1.1)-((J93*1.1)*N93/100))/1.1,IF(AND(Q93="Guaranteed off bill",R93="Exclusive"),K93-(K93*M93/100),IF(AND(Q93="Guaranteed off usage",R93="Exclusive"),K93-(J93*N93/100),IF(R93="Inclusive",((K93*1.1))/1.1,K93)))))</f>
        <v>5146.7934545454546</v>
      </c>
      <c r="T93" s="112">
        <f t="shared" ref="T93:T97" si="65">IF(AND(Q93="Pay-on-time off bill",R93="Inclusive"),((S93*1.1)-((S93*1.1)*O93/100))/1.1,IF(AND(Q93="Pay-on-time off usage",R93="Inclusive"),((S93*1.1)-((J93*1.1)*P93/100))/1.1,IF(AND(Q93="Pay-on-time off bill",R93="Exclusive"),S93-(S93*O93/100),IF(AND(Q93="Pay-on-time off usage",R93="Exclusive"),S93-(J93*P93/100),IF(R93="Inclusive",((S93*1.1))/1.1,S93)))))</f>
        <v>5146.7934545454546</v>
      </c>
      <c r="U93" s="97">
        <f t="shared" ref="U93:U97" si="66">S93*1.1</f>
        <v>5661.4728000000005</v>
      </c>
      <c r="V93" s="98">
        <f t="shared" ref="V93:V97" si="67">T93*1.1</f>
        <v>5661.4728000000005</v>
      </c>
      <c r="W93" s="55">
        <f>'SA Apr 2022'!BL62</f>
        <v>0</v>
      </c>
      <c r="X93" s="56">
        <f>'SA Apr 2022'!BM62</f>
        <v>0</v>
      </c>
      <c r="Y93" s="332"/>
      <c r="Z93" s="332"/>
      <c r="AA93" s="332"/>
      <c r="AB93" s="332"/>
      <c r="AC93" s="332"/>
      <c r="AD93" s="332"/>
      <c r="AE93" s="332"/>
      <c r="AF93" s="332"/>
      <c r="AG93" s="332"/>
      <c r="AH93" s="332"/>
      <c r="AI93" s="332"/>
      <c r="AJ93" s="332"/>
      <c r="AK93" s="332"/>
      <c r="AL93" s="332"/>
      <c r="AM93" s="332"/>
      <c r="AN93" s="332"/>
      <c r="AO93" s="332"/>
      <c r="AP93" s="332"/>
      <c r="AQ93" s="332"/>
      <c r="AR93" s="332"/>
    </row>
    <row r="94" spans="1:44" ht="14" x14ac:dyDescent="0.15">
      <c r="A94" s="70" t="str">
        <f>'SA Apr 2022'!K63</f>
        <v>CovaU</v>
      </c>
      <c r="B94" s="49" t="str">
        <f>'SA Apr 2022'!L63</f>
        <v>Freedom</v>
      </c>
      <c r="C94" s="46">
        <f>IF('SA Apr 2022'!BP63=0,91*'SA Apr 2022'!M63/100,(91*'SA Apr 2022'!M63/100)+'SA Apr 2022'!BP63/4)</f>
        <v>77.349999999999994</v>
      </c>
      <c r="D94" s="46">
        <f>IF('SA Apr 2022'!O63="",$C$77*$C$78*'SA Apr 2022'!N63/100,IF($C$77*$C$78&gt;='SA Apr 2022'!P63,('SA Apr 2022'!P63*'SA Apr 2022'!N63/100),($C$77*$C$78*'SA Apr 2022'!N63/100)))</f>
        <v>1040.4545454545455</v>
      </c>
      <c r="E94" s="46">
        <f>IF(AND('SA Apr 2022'!P63&gt;0,'SA Apr 2022'!R63&gt;0),IF($C$77*$C$78&lt;'SA Apr 2022'!P63,0,IF($C$77*$C$78&lt;=('SA Apr 2022'!R63+'SA Apr 2022'!P63),(($C$77*$C$78-'SA Apr 2022'!P63)*'SA Apr 2022'!Q63/100),(('SA Apr 2022'!R63)*'SA Apr 2022'!Q63/100))),0)</f>
        <v>0</v>
      </c>
      <c r="F94" s="50">
        <f>IF(AND('SA Apr 2022'!R63&gt;0,'SA Apr 2022'!T63&gt;0),IF(($C$77*$C$78&lt;'SA Apr 2022'!T63),(0),($C$77*$C$78-'SA Apr 2022'!T63)*'SA Apr 2022'!U63/100),IF(AND('SA Apr 2022'!R63&gt;0,'SA Apr 2022'!T63=""),IF(($C$77*$C$78&lt;'SA Apr 2022'!R63+'SA Apr 2022'!P63),(0),(($C$77*$C$78-('SA Apr 2022'!R63+'SA Apr 2022'!P63))*'SA Apr 2022'!S63/100)),IF(AND('SA Apr 2022'!P63&gt;0,'SA Apr 2022'!R63=""&gt;0),IF(($C$77*$C$78&lt;'SA Apr 2022'!P63),(0),($C$77*$C$78-'SA Apr 2022'!P63)*'SA Apr 2022'!Q63/100),0)))</f>
        <v>0</v>
      </c>
      <c r="G94" s="328">
        <v>0</v>
      </c>
      <c r="H94" s="51">
        <f>($C$77*$C$79)*'SA Apr 2022'!W63/100</f>
        <v>452.5454545454545</v>
      </c>
      <c r="I94" s="52">
        <f t="shared" si="48"/>
        <v>1570.35</v>
      </c>
      <c r="J94" s="109">
        <f t="shared" si="59"/>
        <v>5972</v>
      </c>
      <c r="K94" s="109">
        <f t="shared" si="60"/>
        <v>6281.4</v>
      </c>
      <c r="L94" s="53">
        <f t="shared" si="61"/>
        <v>6909.54</v>
      </c>
      <c r="M94" s="54">
        <f>'SA Apr 2022'!BB63</f>
        <v>0</v>
      </c>
      <c r="N94" s="54">
        <f>'SA Apr 2022'!BC63</f>
        <v>5</v>
      </c>
      <c r="O94" s="54">
        <f>'SA Apr 2022'!BD63</f>
        <v>0</v>
      </c>
      <c r="P94" s="54">
        <f>'SA Apr 2022'!BE63</f>
        <v>0</v>
      </c>
      <c r="Q94" s="110" t="str">
        <f t="shared" si="62"/>
        <v>Guaranteed off usage</v>
      </c>
      <c r="R94" s="73" t="str">
        <f t="shared" si="63"/>
        <v>Exclusive</v>
      </c>
      <c r="S94" s="111">
        <f t="shared" si="64"/>
        <v>5982.7999999999993</v>
      </c>
      <c r="T94" s="112">
        <f t="shared" si="65"/>
        <v>5982.7999999999993</v>
      </c>
      <c r="U94" s="97">
        <f t="shared" si="66"/>
        <v>6581.08</v>
      </c>
      <c r="V94" s="98">
        <f t="shared" si="67"/>
        <v>6581.08</v>
      </c>
      <c r="W94" s="55">
        <f>'SA Apr 2022'!BL63</f>
        <v>0</v>
      </c>
      <c r="X94" s="56">
        <f>'SA Apr 2022'!BM63</f>
        <v>0</v>
      </c>
      <c r="Y94" s="332"/>
      <c r="Z94" s="332"/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</row>
    <row r="95" spans="1:44" ht="14" x14ac:dyDescent="0.15">
      <c r="A95" s="70" t="str">
        <f>'SA Apr 2022'!K64</f>
        <v>1st Energy</v>
      </c>
      <c r="B95" s="49" t="str">
        <f>'SA Apr 2022'!L64</f>
        <v>1st Saver Plus</v>
      </c>
      <c r="C95" s="46">
        <f>IF('SA Apr 2022'!BP64=0,91*'SA Apr 2022'!M64/100,(91*'SA Apr 2022'!M64/100)+'SA Apr 2022'!BP64/4)</f>
        <v>87.318636363636344</v>
      </c>
      <c r="D95" s="46">
        <f>IF('SA Apr 2022'!O64="",$C$77*$C$78*'SA Apr 2022'!N64/100,IF($C$77*$C$78&gt;='SA Apr 2022'!P64,('SA Apr 2022'!P64*'SA Apr 2022'!N64/100),($C$77*$C$78*'SA Apr 2022'!N64/100)))</f>
        <v>1175.4545454545455</v>
      </c>
      <c r="E95" s="46">
        <f>IF(AND('SA Apr 2022'!P64&gt;0,'SA Apr 2022'!R64&gt;0),IF($C$77*$C$78&lt;'SA Apr 2022'!P64,0,IF($C$77*$C$78&lt;=('SA Apr 2022'!R64+'SA Apr 2022'!P64),(($C$77*$C$78-'SA Apr 2022'!P64)*'SA Apr 2022'!Q64/100),(('SA Apr 2022'!R64)*'SA Apr 2022'!Q64/100))),0)</f>
        <v>0</v>
      </c>
      <c r="F95" s="50">
        <f>IF(AND('SA Apr 2022'!R64&gt;0,'SA Apr 2022'!T64&gt;0),IF(($C$77*$C$78&lt;'SA Apr 2022'!T64),(0),($C$77*$C$78-'SA Apr 2022'!T64)*'SA Apr 2022'!U64/100),IF(AND('SA Apr 2022'!R64&gt;0,'SA Apr 2022'!T64=""),IF(($C$77*$C$78&lt;'SA Apr 2022'!R64+'SA Apr 2022'!P64),(0),(($C$77*$C$78-('SA Apr 2022'!R64+'SA Apr 2022'!P64))*'SA Apr 2022'!S64/100)),IF(AND('SA Apr 2022'!P64&gt;0,'SA Apr 2022'!R64=""&gt;0),IF(($C$77*$C$78&lt;'SA Apr 2022'!P64),(0),($C$77*$C$78-'SA Apr 2022'!P64)*'SA Apr 2022'!Q64/100),0)))</f>
        <v>0</v>
      </c>
      <c r="G95" s="328">
        <v>0</v>
      </c>
      <c r="H95" s="51">
        <f>($C$77*$C$79)*'SA Apr 2022'!W64/100</f>
        <v>481.63636363636363</v>
      </c>
      <c r="I95" s="52">
        <f t="shared" si="48"/>
        <v>1744.4095454545454</v>
      </c>
      <c r="J95" s="109">
        <f t="shared" si="59"/>
        <v>6628.363636363636</v>
      </c>
      <c r="K95" s="109">
        <f t="shared" si="60"/>
        <v>6977.6381818181817</v>
      </c>
      <c r="L95" s="53">
        <f t="shared" si="61"/>
        <v>7675.402</v>
      </c>
      <c r="M95" s="54">
        <f>'SA Apr 2022'!BB64</f>
        <v>4</v>
      </c>
      <c r="N95" s="54">
        <f>'SA Apr 2022'!BC64</f>
        <v>0</v>
      </c>
      <c r="O95" s="54">
        <f>'SA Apr 2022'!BD64</f>
        <v>10</v>
      </c>
      <c r="P95" s="54">
        <f>'SA Apr 2022'!BE64</f>
        <v>0</v>
      </c>
      <c r="Q95" s="110" t="str">
        <f t="shared" si="62"/>
        <v>Guaranteed off bill</v>
      </c>
      <c r="R95" s="73" t="str">
        <f t="shared" si="63"/>
        <v>Exclusive</v>
      </c>
      <c r="S95" s="111">
        <f t="shared" si="64"/>
        <v>6698.5326545454545</v>
      </c>
      <c r="T95" s="112">
        <f>S95-(S95*O95/100)</f>
        <v>6028.6793890909094</v>
      </c>
      <c r="U95" s="97">
        <f t="shared" si="66"/>
        <v>7368.3859200000006</v>
      </c>
      <c r="V95" s="98">
        <f t="shared" si="67"/>
        <v>6631.5473280000006</v>
      </c>
      <c r="W95" s="55">
        <f>'SA Apr 2022'!BL64</f>
        <v>0</v>
      </c>
      <c r="X95" s="56">
        <f>'SA Apr 2022'!BM64</f>
        <v>0</v>
      </c>
      <c r="Y95" s="332"/>
      <c r="Z95" s="332"/>
      <c r="AA95" s="332"/>
      <c r="AB95" s="332"/>
      <c r="AC95" s="332"/>
      <c r="AD95" s="332"/>
      <c r="AE95" s="332"/>
      <c r="AF95" s="332"/>
      <c r="AG95" s="332"/>
      <c r="AH95" s="332"/>
      <c r="AI95" s="332"/>
      <c r="AJ95" s="332"/>
      <c r="AK95" s="332"/>
      <c r="AL95" s="332"/>
      <c r="AM95" s="332"/>
      <c r="AN95" s="332"/>
      <c r="AO95" s="332"/>
      <c r="AP95" s="332"/>
      <c r="AQ95" s="332"/>
      <c r="AR95" s="332"/>
    </row>
    <row r="96" spans="1:44" ht="14" x14ac:dyDescent="0.15">
      <c r="A96" s="70" t="str">
        <f>'SA Apr 2022'!K65</f>
        <v>Sumo Power</v>
      </c>
      <c r="B96" s="49" t="str">
        <f>'SA Apr 2022'!L65</f>
        <v>Freedom Business</v>
      </c>
      <c r="C96" s="46">
        <f>IF('SA Apr 2022'!BP65=0,91*'SA Apr 2022'!M65/100,(91*'SA Apr 2022'!M65/100)+'SA Apr 2022'!BP65/4)</f>
        <v>104.64999999999998</v>
      </c>
      <c r="D96" s="46">
        <f>IF('SA Apr 2022'!O65="",$C$77*$C$78*'SA Apr 2022'!N65/100,IF($C$77*$C$78&gt;='SA Apr 2022'!P65,('SA Apr 2022'!P65*'SA Apr 2022'!N65/100),($C$77*$C$78*'SA Apr 2022'!N65/100)))</f>
        <v>1005</v>
      </c>
      <c r="E96" s="46">
        <f>IF(AND('SA Apr 2022'!P65&gt;0,'SA Apr 2022'!R65&gt;0),IF($C$77*$C$78&lt;'SA Apr 2022'!P65,0,IF($C$77*$C$78&lt;=('SA Apr 2022'!R65+'SA Apr 2022'!P65),(($C$77*$C$78-'SA Apr 2022'!P65)*'SA Apr 2022'!Q65/100),(('SA Apr 2022'!R65)*'SA Apr 2022'!Q65/100))),0)</f>
        <v>0</v>
      </c>
      <c r="F96" s="50">
        <f>IF(AND('SA Apr 2022'!R65&gt;0,'SA Apr 2022'!T65&gt;0),IF(($C$77*$C$78&lt;'SA Apr 2022'!T65),(0),($C$77*$C$78-'SA Apr 2022'!T65)*'SA Apr 2022'!U65/100),IF(AND('SA Apr 2022'!R65&gt;0,'SA Apr 2022'!T65=""),IF(($C$77*$C$78&lt;'SA Apr 2022'!R65+'SA Apr 2022'!P65),(0),(($C$77*$C$78-('SA Apr 2022'!R65+'SA Apr 2022'!P65))*'SA Apr 2022'!S65/100)),IF(AND('SA Apr 2022'!P65&gt;0,'SA Apr 2022'!R65=""&gt;0),IF(($C$77*$C$78&lt;'SA Apr 2022'!P65),(0),($C$77*$C$78-'SA Apr 2022'!P65)*'SA Apr 2022'!Q65/100),0)))</f>
        <v>0</v>
      </c>
      <c r="G96" s="328">
        <v>0</v>
      </c>
      <c r="H96" s="51">
        <f>($C$77*$C$79)*'SA Apr 2022'!W65/100</f>
        <v>448</v>
      </c>
      <c r="I96" s="52">
        <f t="shared" si="48"/>
        <v>1557.65</v>
      </c>
      <c r="J96" s="109">
        <f t="shared" si="59"/>
        <v>5812</v>
      </c>
      <c r="K96" s="109">
        <f t="shared" si="60"/>
        <v>6230.6</v>
      </c>
      <c r="L96" s="53">
        <f t="shared" si="61"/>
        <v>6853.6600000000008</v>
      </c>
      <c r="M96" s="54">
        <f>'SA Apr 2022'!BB65</f>
        <v>0</v>
      </c>
      <c r="N96" s="54">
        <f>'SA Apr 2022'!BC65</f>
        <v>0</v>
      </c>
      <c r="O96" s="54">
        <f>'SA Apr 2022'!BD65</f>
        <v>0</v>
      </c>
      <c r="P96" s="54">
        <f>'SA Apr 2022'!BE65</f>
        <v>0</v>
      </c>
      <c r="Q96" s="110" t="str">
        <f t="shared" si="62"/>
        <v>No discount</v>
      </c>
      <c r="R96" s="73" t="str">
        <f t="shared" si="63"/>
        <v>Exclusive</v>
      </c>
      <c r="S96" s="111">
        <f t="shared" si="64"/>
        <v>6230.6</v>
      </c>
      <c r="T96" s="112">
        <f t="shared" si="65"/>
        <v>6230.6</v>
      </c>
      <c r="U96" s="97">
        <f t="shared" si="66"/>
        <v>6853.6600000000008</v>
      </c>
      <c r="V96" s="98">
        <f t="shared" si="67"/>
        <v>6853.6600000000008</v>
      </c>
      <c r="W96" s="55">
        <f>'SA Apr 2022'!BL65</f>
        <v>0</v>
      </c>
      <c r="X96" s="56">
        <f>'SA Apr 2022'!BM65</f>
        <v>0</v>
      </c>
      <c r="Y96" s="332"/>
      <c r="Z96" s="332"/>
      <c r="AA96" s="332"/>
      <c r="AB96" s="332"/>
      <c r="AC96" s="332"/>
      <c r="AD96" s="332"/>
      <c r="AE96" s="332"/>
      <c r="AF96" s="332"/>
      <c r="AG96" s="332"/>
      <c r="AH96" s="332"/>
      <c r="AI96" s="332"/>
      <c r="AJ96" s="332"/>
      <c r="AK96" s="332"/>
      <c r="AL96" s="332"/>
      <c r="AM96" s="332"/>
      <c r="AN96" s="332"/>
      <c r="AO96" s="332"/>
      <c r="AP96" s="332"/>
      <c r="AQ96" s="332"/>
      <c r="AR96" s="332"/>
    </row>
    <row r="97" spans="1:44" ht="15" thickBot="1" x14ac:dyDescent="0.2">
      <c r="A97" s="71" t="str">
        <f>'SA Apr 2022'!K66</f>
        <v>Next Business Energy</v>
      </c>
      <c r="B97" s="57" t="str">
        <f>'SA Apr 2022'!L66</f>
        <v xml:space="preserve">Assured </v>
      </c>
      <c r="C97" s="58">
        <f>IF('SA Apr 2022'!BP66=0,91*'SA Apr 2022'!M66/100,(91*'SA Apr 2022'!M66/100)+'SA Apr 2022'!BP66/4)</f>
        <v>76.075999999999993</v>
      </c>
      <c r="D97" s="58">
        <f>IF('SA Apr 2022'!O66="",$C$77*$C$78*'SA Apr 2022'!N66/100,IF($C$77*$C$78&gt;='SA Apr 2022'!P66,('SA Apr 2022'!P66*'SA Apr 2022'!N66/100),($C$77*$C$78*'SA Apr 2022'!N66/100)))</f>
        <v>944.99999999999989</v>
      </c>
      <c r="E97" s="58">
        <f>IF(AND('SA Apr 2022'!P66&gt;0,'SA Apr 2022'!R66&gt;0),IF($C$77*$C$78&lt;'SA Apr 2022'!P66,0,IF($C$77*$C$78&lt;=('SA Apr 2022'!R66+'SA Apr 2022'!P66),(($C$77*$C$78-'SA Apr 2022'!P66)*'SA Apr 2022'!Q66/100),(('SA Apr 2022'!R66)*'SA Apr 2022'!Q66/100))),0)</f>
        <v>0</v>
      </c>
      <c r="F97" s="59">
        <f>IF(AND('SA Apr 2022'!R66&gt;0,'SA Apr 2022'!T66&gt;0),IF(($C$77*$C$78&lt;'SA Apr 2022'!T66),(0),($C$77*$C$78-'SA Apr 2022'!T66)*'SA Apr 2022'!U66/100),IF(AND('SA Apr 2022'!R66&gt;0,'SA Apr 2022'!T66=""),IF(($C$77*$C$78&lt;'SA Apr 2022'!R66+'SA Apr 2022'!P66),(0),(($C$77*$C$78-('SA Apr 2022'!R66+'SA Apr 2022'!P66))*'SA Apr 2022'!S66/100)),IF(AND('SA Apr 2022'!P66&gt;0,'SA Apr 2022'!R66=""&gt;0),IF(($C$77*$C$78&lt;'SA Apr 2022'!P66),(0),($C$77*$C$78-'SA Apr 2022'!P66)*'SA Apr 2022'!Q66/100),0)))</f>
        <v>0</v>
      </c>
      <c r="G97" s="329">
        <v>0</v>
      </c>
      <c r="H97" s="60">
        <f>($C$77*$C$79)*'SA Apr 2022'!W66/100</f>
        <v>470</v>
      </c>
      <c r="I97" s="61">
        <f t="shared" si="48"/>
        <v>1491.076</v>
      </c>
      <c r="J97" s="116">
        <f t="shared" si="59"/>
        <v>5660</v>
      </c>
      <c r="K97" s="116">
        <f t="shared" si="60"/>
        <v>5964.3040000000001</v>
      </c>
      <c r="L97" s="62">
        <f t="shared" si="61"/>
        <v>6560.7344000000003</v>
      </c>
      <c r="M97" s="63">
        <f>'SA Apr 2022'!BB66</f>
        <v>0</v>
      </c>
      <c r="N97" s="63">
        <f>'SA Apr 2022'!BC66</f>
        <v>0</v>
      </c>
      <c r="O97" s="63">
        <f>'SA Apr 2022'!BD66</f>
        <v>0</v>
      </c>
      <c r="P97" s="63">
        <f>'SA Apr 2022'!BE66</f>
        <v>0</v>
      </c>
      <c r="Q97" s="115" t="str">
        <f t="shared" si="62"/>
        <v>No discount</v>
      </c>
      <c r="R97" s="72" t="str">
        <f t="shared" si="63"/>
        <v>Exclusive</v>
      </c>
      <c r="S97" s="113">
        <f t="shared" si="64"/>
        <v>5964.3040000000001</v>
      </c>
      <c r="T97" s="114">
        <f t="shared" si="65"/>
        <v>5964.3040000000001</v>
      </c>
      <c r="U97" s="99">
        <f t="shared" si="66"/>
        <v>6560.7344000000003</v>
      </c>
      <c r="V97" s="100">
        <f t="shared" si="67"/>
        <v>6560.7344000000003</v>
      </c>
      <c r="W97" s="64">
        <f>'SA Apr 2022'!BL66</f>
        <v>0</v>
      </c>
      <c r="X97" s="65">
        <f>'SA Apr 2022'!BM66</f>
        <v>0</v>
      </c>
      <c r="Y97" s="332"/>
      <c r="Z97" s="332"/>
      <c r="AA97" s="332"/>
      <c r="AB97" s="332"/>
      <c r="AC97" s="332"/>
      <c r="AD97" s="332"/>
      <c r="AE97" s="332"/>
      <c r="AF97" s="332"/>
      <c r="AG97" s="332"/>
      <c r="AH97" s="332"/>
      <c r="AI97" s="332"/>
      <c r="AJ97" s="332"/>
      <c r="AK97" s="332"/>
      <c r="AL97" s="332"/>
      <c r="AM97" s="332"/>
      <c r="AN97" s="332"/>
      <c r="AO97" s="332"/>
      <c r="AP97" s="332"/>
      <c r="AQ97" s="332"/>
      <c r="AR97" s="332"/>
    </row>
    <row r="98" spans="1:44" ht="14" x14ac:dyDescent="0.15">
      <c r="A98" s="332"/>
      <c r="B98" s="332"/>
      <c r="C98" s="332"/>
      <c r="D98" s="335"/>
      <c r="E98" s="335"/>
      <c r="F98" s="335"/>
      <c r="G98" s="335"/>
      <c r="H98" s="335"/>
      <c r="I98" s="336"/>
      <c r="J98" s="336"/>
      <c r="K98" s="332"/>
      <c r="L98" s="332"/>
      <c r="M98" s="332"/>
      <c r="N98" s="332"/>
      <c r="O98" s="332"/>
      <c r="P98" s="332"/>
      <c r="Q98" s="332"/>
      <c r="R98" s="332"/>
      <c r="S98" s="332"/>
      <c r="T98" s="332"/>
      <c r="U98" s="332"/>
      <c r="V98" s="332"/>
      <c r="W98" s="332"/>
      <c r="X98" s="332"/>
      <c r="Y98" s="332"/>
      <c r="Z98" s="332"/>
      <c r="AA98" s="332"/>
      <c r="AB98" s="332"/>
      <c r="AC98" s="332"/>
      <c r="AD98" s="332"/>
      <c r="AE98" s="332"/>
      <c r="AF98" s="332"/>
      <c r="AG98" s="332"/>
      <c r="AH98" s="332"/>
      <c r="AI98" s="332"/>
      <c r="AJ98" s="332"/>
      <c r="AK98" s="332"/>
      <c r="AL98" s="332"/>
      <c r="AM98" s="332"/>
      <c r="AN98" s="332"/>
      <c r="AO98" s="332"/>
      <c r="AP98" s="332"/>
      <c r="AQ98" s="332"/>
      <c r="AR98" s="332"/>
    </row>
    <row r="99" spans="1:44" ht="14" x14ac:dyDescent="0.15">
      <c r="A99" s="332"/>
      <c r="B99" s="332"/>
      <c r="C99" s="332"/>
      <c r="D99" s="332"/>
      <c r="E99" s="332"/>
      <c r="F99" s="332"/>
      <c r="G99" s="335"/>
      <c r="H99" s="335"/>
      <c r="I99" s="336"/>
      <c r="J99" s="336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2"/>
      <c r="AH99" s="332"/>
      <c r="AI99" s="332"/>
      <c r="AJ99" s="332"/>
      <c r="AK99" s="332"/>
      <c r="AL99" s="332"/>
      <c r="AM99" s="332"/>
      <c r="AN99" s="332"/>
      <c r="AO99" s="332"/>
      <c r="AP99" s="332"/>
      <c r="AQ99" s="332"/>
      <c r="AR99" s="332"/>
    </row>
    <row r="100" spans="1:44" ht="14" x14ac:dyDescent="0.15">
      <c r="A100" s="332"/>
      <c r="B100" s="332"/>
      <c r="C100" s="332"/>
      <c r="D100" s="335"/>
      <c r="E100" s="335"/>
      <c r="F100" s="335"/>
      <c r="G100" s="335"/>
      <c r="H100" s="335"/>
      <c r="I100" s="336"/>
      <c r="J100" s="336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2"/>
      <c r="AH100" s="332"/>
      <c r="AI100" s="332"/>
      <c r="AJ100" s="332"/>
      <c r="AK100" s="332"/>
      <c r="AL100" s="332"/>
      <c r="AM100" s="332"/>
      <c r="AN100" s="332"/>
      <c r="AO100" s="332"/>
      <c r="AP100" s="332"/>
      <c r="AQ100" s="332"/>
      <c r="AR100" s="332"/>
    </row>
    <row r="101" spans="1:44" ht="14" x14ac:dyDescent="0.15">
      <c r="A101" s="332"/>
      <c r="B101" s="332"/>
      <c r="C101" s="332"/>
      <c r="D101" s="332"/>
      <c r="E101" s="332"/>
      <c r="F101" s="332"/>
      <c r="G101" s="335"/>
      <c r="H101" s="335"/>
      <c r="I101" s="336"/>
      <c r="J101" s="336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2"/>
      <c r="AH101" s="332"/>
      <c r="AI101" s="332"/>
      <c r="AJ101" s="332"/>
      <c r="AK101" s="332"/>
      <c r="AL101" s="332"/>
      <c r="AM101" s="332"/>
      <c r="AN101" s="332"/>
      <c r="AO101" s="332"/>
      <c r="AP101" s="332"/>
      <c r="AQ101" s="332"/>
      <c r="AR101" s="332"/>
    </row>
    <row r="102" spans="1:44" ht="14" x14ac:dyDescent="0.15">
      <c r="A102" s="332"/>
      <c r="B102" s="332"/>
      <c r="C102" s="332"/>
      <c r="D102" s="335"/>
      <c r="E102" s="335"/>
      <c r="F102" s="335"/>
      <c r="G102" s="335"/>
      <c r="H102" s="335"/>
      <c r="I102" s="336"/>
      <c r="J102" s="336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2"/>
      <c r="AH102" s="332"/>
      <c r="AI102" s="332"/>
      <c r="AJ102" s="332"/>
      <c r="AK102" s="332"/>
      <c r="AL102" s="332"/>
      <c r="AM102" s="332"/>
      <c r="AN102" s="332"/>
      <c r="AO102" s="332"/>
      <c r="AP102" s="332"/>
      <c r="AQ102" s="332"/>
      <c r="AR102" s="332"/>
    </row>
    <row r="103" spans="1:44" ht="14" x14ac:dyDescent="0.15">
      <c r="A103" s="332"/>
      <c r="B103" s="332"/>
      <c r="C103" s="332"/>
      <c r="D103" s="332"/>
      <c r="E103" s="332"/>
      <c r="F103" s="332"/>
      <c r="G103" s="335"/>
      <c r="H103" s="335"/>
      <c r="I103" s="336"/>
      <c r="J103" s="336"/>
      <c r="K103" s="332"/>
      <c r="L103" s="332"/>
      <c r="M103" s="332"/>
      <c r="N103" s="332"/>
      <c r="O103" s="332"/>
      <c r="P103" s="332"/>
      <c r="Q103" s="332"/>
      <c r="R103" s="332"/>
      <c r="S103" s="332"/>
      <c r="T103" s="332"/>
      <c r="U103" s="332"/>
      <c r="V103" s="332"/>
      <c r="W103" s="332"/>
      <c r="X103" s="332"/>
      <c r="Y103" s="332"/>
      <c r="Z103" s="332"/>
      <c r="AA103" s="332"/>
      <c r="AB103" s="332"/>
      <c r="AC103" s="332"/>
      <c r="AD103" s="332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332"/>
      <c r="AO103" s="332"/>
      <c r="AP103" s="332"/>
      <c r="AQ103" s="332"/>
      <c r="AR103" s="332"/>
    </row>
    <row r="104" spans="1:44" ht="14" x14ac:dyDescent="0.15">
      <c r="A104" s="332"/>
      <c r="B104" s="332"/>
      <c r="C104" s="332"/>
      <c r="D104" s="335"/>
      <c r="E104" s="335"/>
      <c r="F104" s="335"/>
      <c r="G104" s="335"/>
      <c r="H104" s="335"/>
      <c r="I104" s="336"/>
      <c r="J104" s="336"/>
      <c r="K104" s="332"/>
      <c r="L104" s="332"/>
      <c r="M104" s="332"/>
      <c r="N104" s="332"/>
      <c r="O104" s="332"/>
      <c r="P104" s="332"/>
      <c r="Q104" s="332"/>
      <c r="R104" s="332"/>
      <c r="S104" s="332"/>
      <c r="T104" s="332"/>
      <c r="U104" s="332"/>
      <c r="V104" s="332"/>
      <c r="W104" s="332"/>
      <c r="X104" s="332"/>
      <c r="Y104" s="332"/>
      <c r="Z104" s="332"/>
      <c r="AA104" s="332"/>
      <c r="AB104" s="332"/>
      <c r="AC104" s="332"/>
      <c r="AD104" s="332"/>
      <c r="AE104" s="332"/>
      <c r="AF104" s="332"/>
      <c r="AG104" s="332"/>
      <c r="AH104" s="332"/>
      <c r="AI104" s="332"/>
      <c r="AJ104" s="332"/>
      <c r="AK104" s="332"/>
      <c r="AL104" s="332"/>
      <c r="AM104" s="332"/>
      <c r="AN104" s="332"/>
      <c r="AO104" s="332"/>
      <c r="AP104" s="332"/>
      <c r="AQ104" s="332"/>
      <c r="AR104" s="332"/>
    </row>
    <row r="105" spans="1:44" ht="14" x14ac:dyDescent="0.15">
      <c r="A105" s="332"/>
      <c r="B105" s="332"/>
      <c r="C105" s="332"/>
      <c r="D105" s="332"/>
      <c r="E105" s="332"/>
      <c r="F105" s="332"/>
      <c r="G105" s="335"/>
      <c r="H105" s="335"/>
      <c r="I105" s="336"/>
      <c r="J105" s="336"/>
      <c r="K105" s="332"/>
      <c r="L105" s="332"/>
      <c r="M105" s="332"/>
      <c r="N105" s="332"/>
      <c r="O105" s="332"/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32"/>
      <c r="AA105" s="332"/>
      <c r="AB105" s="332"/>
      <c r="AC105" s="332"/>
      <c r="AD105" s="332"/>
      <c r="AE105" s="332"/>
      <c r="AF105" s="332"/>
      <c r="AG105" s="332"/>
      <c r="AH105" s="332"/>
      <c r="AI105" s="332"/>
      <c r="AJ105" s="332"/>
      <c r="AK105" s="332"/>
      <c r="AL105" s="332"/>
      <c r="AM105" s="332"/>
      <c r="AN105" s="332"/>
      <c r="AO105" s="332"/>
      <c r="AP105" s="332"/>
      <c r="AQ105" s="332"/>
      <c r="AR105" s="332"/>
    </row>
    <row r="106" spans="1:44" ht="14" x14ac:dyDescent="0.15">
      <c r="A106" s="332"/>
      <c r="B106" s="332"/>
      <c r="C106" s="332"/>
      <c r="D106" s="335"/>
      <c r="E106" s="335"/>
      <c r="F106" s="335"/>
      <c r="G106" s="335"/>
      <c r="H106" s="335"/>
      <c r="I106" s="336"/>
      <c r="J106" s="336"/>
      <c r="K106" s="332"/>
      <c r="L106" s="332"/>
      <c r="M106" s="332"/>
      <c r="N106" s="332"/>
      <c r="O106" s="332"/>
      <c r="P106" s="332"/>
      <c r="Q106" s="332"/>
      <c r="R106" s="332"/>
      <c r="S106" s="332"/>
      <c r="T106" s="332"/>
      <c r="U106" s="332"/>
      <c r="V106" s="332"/>
      <c r="W106" s="332"/>
      <c r="X106" s="332"/>
      <c r="Y106" s="332"/>
      <c r="Z106" s="332"/>
      <c r="AA106" s="332"/>
      <c r="AB106" s="332"/>
      <c r="AC106" s="332"/>
      <c r="AD106" s="332"/>
      <c r="AE106" s="332"/>
      <c r="AF106" s="332"/>
      <c r="AG106" s="332"/>
      <c r="AH106" s="332"/>
      <c r="AI106" s="332"/>
      <c r="AJ106" s="332"/>
      <c r="AK106" s="332"/>
      <c r="AL106" s="332"/>
      <c r="AM106" s="332"/>
      <c r="AN106" s="332"/>
      <c r="AO106" s="332"/>
      <c r="AP106" s="332"/>
      <c r="AQ106" s="332"/>
      <c r="AR106" s="332"/>
    </row>
    <row r="107" spans="1:44" ht="14" x14ac:dyDescent="0.15">
      <c r="A107" s="332"/>
      <c r="B107" s="332"/>
      <c r="C107" s="332"/>
      <c r="D107" s="332"/>
      <c r="E107" s="332"/>
      <c r="F107" s="332"/>
      <c r="G107" s="335"/>
      <c r="H107" s="335"/>
      <c r="I107" s="336"/>
      <c r="J107" s="336"/>
      <c r="K107" s="332"/>
      <c r="L107" s="332"/>
      <c r="M107" s="332"/>
      <c r="N107" s="332"/>
      <c r="O107" s="332"/>
      <c r="P107" s="332"/>
      <c r="Q107" s="332"/>
      <c r="R107" s="332"/>
      <c r="S107" s="332"/>
      <c r="T107" s="332"/>
      <c r="U107" s="332"/>
      <c r="V107" s="332"/>
      <c r="W107" s="332"/>
      <c r="X107" s="332"/>
      <c r="Y107" s="332"/>
      <c r="Z107" s="332"/>
      <c r="AA107" s="332"/>
      <c r="AB107" s="332"/>
      <c r="AC107" s="332"/>
      <c r="AD107" s="332"/>
      <c r="AE107" s="332"/>
      <c r="AF107" s="332"/>
      <c r="AG107" s="332"/>
      <c r="AH107" s="332"/>
      <c r="AI107" s="332"/>
      <c r="AJ107" s="332"/>
      <c r="AK107" s="332"/>
      <c r="AL107" s="332"/>
      <c r="AM107" s="332"/>
      <c r="AN107" s="332"/>
      <c r="AO107" s="332"/>
      <c r="AP107" s="332"/>
      <c r="AQ107" s="332"/>
      <c r="AR107" s="332"/>
    </row>
    <row r="108" spans="1:44" ht="14" x14ac:dyDescent="0.15">
      <c r="A108" s="332"/>
      <c r="B108" s="332"/>
      <c r="C108" s="332"/>
      <c r="D108" s="335"/>
      <c r="E108" s="335"/>
      <c r="F108" s="335"/>
      <c r="G108" s="335"/>
      <c r="H108" s="335"/>
      <c r="I108" s="336"/>
      <c r="J108" s="336"/>
      <c r="K108" s="332"/>
      <c r="L108" s="332"/>
      <c r="M108" s="332"/>
      <c r="N108" s="332"/>
      <c r="O108" s="332"/>
      <c r="P108" s="332"/>
      <c r="Q108" s="332"/>
      <c r="R108" s="332"/>
      <c r="S108" s="332"/>
      <c r="T108" s="332"/>
      <c r="U108" s="332"/>
      <c r="V108" s="332"/>
      <c r="W108" s="332"/>
      <c r="X108" s="332"/>
      <c r="Y108" s="332"/>
      <c r="Z108" s="332"/>
      <c r="AA108" s="332"/>
      <c r="AB108" s="332"/>
      <c r="AC108" s="332"/>
      <c r="AD108" s="332"/>
      <c r="AE108" s="332"/>
      <c r="AF108" s="332"/>
      <c r="AG108" s="332"/>
      <c r="AH108" s="332"/>
      <c r="AI108" s="332"/>
      <c r="AJ108" s="332"/>
      <c r="AK108" s="332"/>
      <c r="AL108" s="332"/>
      <c r="AM108" s="332"/>
      <c r="AN108" s="332"/>
      <c r="AO108" s="332"/>
      <c r="AP108" s="332"/>
      <c r="AQ108" s="332"/>
      <c r="AR108" s="332"/>
    </row>
    <row r="109" spans="1:44" ht="14" x14ac:dyDescent="0.15">
      <c r="A109" s="332"/>
      <c r="B109" s="332"/>
      <c r="C109" s="332"/>
      <c r="D109" s="332"/>
      <c r="E109" s="332"/>
      <c r="F109" s="332"/>
      <c r="G109" s="335"/>
      <c r="H109" s="335"/>
      <c r="I109" s="336"/>
      <c r="J109" s="336"/>
      <c r="K109" s="332"/>
      <c r="L109" s="332"/>
      <c r="M109" s="332"/>
      <c r="N109" s="332"/>
      <c r="O109" s="332"/>
      <c r="P109" s="332"/>
      <c r="Q109" s="332"/>
      <c r="R109" s="332"/>
      <c r="S109" s="332"/>
      <c r="T109" s="332"/>
      <c r="U109" s="332"/>
      <c r="V109" s="332"/>
      <c r="W109" s="332"/>
      <c r="X109" s="332"/>
      <c r="Y109" s="332"/>
      <c r="Z109" s="332"/>
      <c r="AA109" s="332"/>
      <c r="AB109" s="332"/>
      <c r="AC109" s="332"/>
      <c r="AD109" s="332"/>
      <c r="AE109" s="332"/>
      <c r="AF109" s="332"/>
      <c r="AG109" s="332"/>
      <c r="AH109" s="332"/>
      <c r="AI109" s="332"/>
      <c r="AJ109" s="332"/>
      <c r="AK109" s="332"/>
      <c r="AL109" s="332"/>
      <c r="AM109" s="332"/>
      <c r="AN109" s="332"/>
      <c r="AO109" s="332"/>
      <c r="AP109" s="332"/>
      <c r="AQ109" s="332"/>
      <c r="AR109" s="332"/>
    </row>
    <row r="110" spans="1:44" ht="14" x14ac:dyDescent="0.15">
      <c r="A110" s="332"/>
      <c r="B110" s="332"/>
      <c r="C110" s="332"/>
      <c r="D110" s="335"/>
      <c r="E110" s="335"/>
      <c r="F110" s="335"/>
      <c r="G110" s="335"/>
      <c r="H110" s="335"/>
      <c r="I110" s="336"/>
      <c r="J110" s="336"/>
      <c r="K110" s="332"/>
      <c r="L110" s="332"/>
      <c r="M110" s="332"/>
      <c r="N110" s="332"/>
      <c r="O110" s="332"/>
      <c r="P110" s="332"/>
      <c r="Q110" s="332"/>
      <c r="R110" s="332"/>
      <c r="S110" s="332"/>
      <c r="T110" s="332"/>
      <c r="U110" s="332"/>
      <c r="V110" s="332"/>
      <c r="W110" s="332"/>
      <c r="X110" s="332"/>
      <c r="Y110" s="332"/>
      <c r="Z110" s="332"/>
      <c r="AA110" s="332"/>
      <c r="AB110" s="332"/>
      <c r="AC110" s="332"/>
      <c r="AD110" s="332"/>
      <c r="AE110" s="332"/>
      <c r="AF110" s="332"/>
      <c r="AG110" s="332"/>
      <c r="AH110" s="332"/>
      <c r="AI110" s="332"/>
      <c r="AJ110" s="332"/>
      <c r="AK110" s="332"/>
      <c r="AL110" s="332"/>
      <c r="AM110" s="332"/>
      <c r="AN110" s="332"/>
      <c r="AO110" s="332"/>
      <c r="AP110" s="332"/>
      <c r="AQ110" s="332"/>
      <c r="AR110" s="332"/>
    </row>
  </sheetData>
  <sheetProtection algorithmName="SHA-512" hashValue="JgPAAc4c9bnWIS0QT33AB7KMNQky3IlYOIgs7JCd01FYk/V4WR/9hkNEZa3IPZ74Bc6VV8NABsfc/lz0aoV1Bg==" saltValue="gj+reC4L+lC7WycQilICWA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63" max="16383" man="1" pt="1"/>
  </rowBreaks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AF89D-6E51-3540-93EF-79C5EEF9E42C}">
  <sheetPr codeName="Sheet23">
    <tabColor theme="9" tint="0.79998168889431442"/>
  </sheetPr>
  <dimension ref="A1:AR97"/>
  <sheetViews>
    <sheetView zoomScaleNormal="100" zoomScalePageLayoutView="125" workbookViewId="0">
      <selection activeCell="A8" sqref="A8:A28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22" t="s">
        <v>31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2"/>
      <c r="AP1" s="322"/>
      <c r="AQ1" s="322"/>
      <c r="AR1" s="322"/>
    </row>
    <row r="2" spans="1:44" ht="14" x14ac:dyDescent="0.15">
      <c r="A2" s="323" t="s">
        <v>236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</row>
    <row r="3" spans="1:44" ht="15" thickBot="1" x14ac:dyDescent="0.2">
      <c r="A3" s="322"/>
      <c r="B3" s="322"/>
      <c r="C3" s="322"/>
      <c r="D3" s="322"/>
      <c r="E3" s="322"/>
      <c r="F3" s="322"/>
      <c r="G3" s="324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  <c r="AR5" s="322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</row>
    <row r="8" spans="1:44" ht="14" x14ac:dyDescent="0.15">
      <c r="A8" s="70" t="str">
        <f>'SA Oct 2021'!K2</f>
        <v>AGL</v>
      </c>
      <c r="B8" s="49" t="str">
        <f>'SA Oct 2021'!L2</f>
        <v>Flexible Saver</v>
      </c>
      <c r="C8" s="46">
        <f>IF('SA Oct 2021'!BP2=0,91*'SA Oct 2021'!M2/100,(91*'SA Oct 2021'!M2/100)+'SA Oct 2021'!BP2/4)</f>
        <v>85.4820909090909</v>
      </c>
      <c r="D8" s="46">
        <f>IF('SA Oct 2021'!O2="",$C$5*'SA Oct 2021'!N2/100,IF($C$5&gt;='SA Oct 2021'!P2,('SA Oct 2021'!P2*'SA Oct 2021'!N2/100),($C$5*'SA Oct 2021'!N2/100)))</f>
        <v>1593.6363636363635</v>
      </c>
      <c r="E8" s="46">
        <f>IF(AND('SA Oct 2021'!P2&gt;0,'SA Oct 2021'!R2&gt;0),IF($C$5&lt;'SA Oct 2021'!P2,0,IF($C$5&lt;=('SA Oct 2021'!R2+'SA Oct 2021'!P2),(($C$5-'SA Oct 2021'!P2)*'SA Oct 2021'!Q2/100),(('SA Oct 2021'!R2)*'SA Oct 2021'!Q2/100))),0)</f>
        <v>0</v>
      </c>
      <c r="F8" s="46">
        <f>IF(AND('SA Oct 2021'!Q2&gt;0,'SA Oct 2021'!S2&gt;0),IF($C$5&lt;('SA Oct 2021'!R2+'SA Oct 2021'!P2),0,IF($C$5&lt;=('SA Oct 2021'!T2+'SA Oct 2021'!R2+'SA Oct 2021'!P2),(($C$5-('SA Oct 2021'!R2+'SA Oct 2021'!P2))*'SA Oct 2021'!S2/100),('SA Oct 2021'!T2*'SA Oct 2021'!S2/100))),0)</f>
        <v>0</v>
      </c>
      <c r="G8" s="50">
        <v>0</v>
      </c>
      <c r="H8" s="46">
        <f>IF(AND('SA Oct 2021'!R2&gt;0,'SA Oct 2021'!T2&gt;0),IF(($C$5&lt;'SA Oct 2021'!T2),(0),($C$5-'SA Oct 2021'!T2)*'SA Oct 2021'!U2/100),IF(AND('SA Oct 2021'!R2&gt;0,'SA Oct 2021'!T2=""),IF(($C$5&lt;'SA Oct 2021'!R2+'SA Oct 2021'!P2),(0),(($C$5-('SA Oct 2021'!R2+'SA Oct 2021'!P2))*'SA Oct 2021'!S2/100)),IF(AND('SA Oct 2021'!P2&gt;0,'SA Oct 2021'!R2=""&gt;0),IF(($C$5&lt;'SA Oct 2021'!P2),(0),($C$5-'SA Oct 2021'!P2)*'SA Oct 2021'!Q2/100),0)))</f>
        <v>0</v>
      </c>
      <c r="I8" s="52">
        <f>SUM(C8:H8)</f>
        <v>1679.1184545454544</v>
      </c>
      <c r="J8" s="109">
        <f>(I8-C8)*4</f>
        <v>6374.545454545454</v>
      </c>
      <c r="K8" s="109">
        <f t="shared" ref="K8:K26" si="0">I8*4</f>
        <v>6716.4738181818175</v>
      </c>
      <c r="L8" s="53">
        <f>K8*1.1</f>
        <v>7388.1211999999996</v>
      </c>
      <c r="M8" s="54">
        <f>'SA Oct 2021'!BB2</f>
        <v>0</v>
      </c>
      <c r="N8" s="54">
        <f>'SA Oct 2021'!BC2</f>
        <v>0</v>
      </c>
      <c r="O8" s="54">
        <f>'SA Oct 2021'!BD2</f>
        <v>0</v>
      </c>
      <c r="P8" s="54">
        <f>'SA Oct 2021'!BE2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6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6716.4738181818175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6716.4738181818175</v>
      </c>
      <c r="U8" s="97">
        <f>S8*1.1</f>
        <v>7388.1211999999996</v>
      </c>
      <c r="V8" s="98">
        <f>T8*1.1</f>
        <v>7388.1211999999996</v>
      </c>
      <c r="W8" s="55">
        <f>'SA Oct 2021'!BL2</f>
        <v>0</v>
      </c>
      <c r="X8" s="56" t="str">
        <f>'SA Oct 2021'!BM2</f>
        <v>n</v>
      </c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322"/>
      <c r="AQ8" s="322"/>
      <c r="AR8" s="322"/>
    </row>
    <row r="9" spans="1:44" ht="14" x14ac:dyDescent="0.15">
      <c r="A9" s="70" t="str">
        <f>'SA Oct 2021'!K3</f>
        <v>Alinta Energy</v>
      </c>
      <c r="B9" s="49" t="str">
        <f>'SA Oct 2021'!L3</f>
        <v>Business Deal</v>
      </c>
      <c r="C9" s="46">
        <f>IF('SA Oct 2021'!BP3=0,91*'SA Oct 2021'!M3/100,(91*'SA Oct 2021'!M3/100)+'SA Oct 2021'!BP3/4)</f>
        <v>78.226909090909089</v>
      </c>
      <c r="D9" s="46">
        <f>IF('SA Oct 2021'!O3="",$C$5*'SA Oct 2021'!N3/100,IF($C$5&gt;='SA Oct 2021'!P3,('SA Oct 2021'!P3*'SA Oct 2021'!N3/100),($C$5*'SA Oct 2021'!N3/100)))</f>
        <v>1356.8181818181818</v>
      </c>
      <c r="E9" s="46">
        <f>IF(AND('SA Oct 2021'!P3&gt;0,'SA Oct 2021'!R3&gt;0),IF($C$5&lt;'SA Oct 2021'!P3,0,IF($C$5&lt;=('SA Oct 2021'!R3+'SA Oct 2021'!P3),(($C$5-'SA Oct 2021'!P3)*'SA Oct 2021'!Q3/100),(('SA Oct 2021'!R3)*'SA Oct 2021'!Q3/100))),0)</f>
        <v>0</v>
      </c>
      <c r="F9" s="46">
        <f>IF(AND('SA Oct 2021'!Q3&gt;0,'SA Oct 2021'!S3&gt;0),IF($C$5&lt;('SA Oct 2021'!R3+'SA Oct 2021'!P3),0,IF($C$5&lt;=('SA Oct 2021'!T3+'SA Oct 2021'!R3+'SA Oct 2021'!P3),(($C$5-('SA Oct 2021'!R3+'SA Oct 2021'!P3))*'SA Oct 2021'!S3/100),('SA Oct 2021'!T3*'SA Oct 2021'!S3/100))),0)</f>
        <v>0</v>
      </c>
      <c r="G9" s="50">
        <v>0</v>
      </c>
      <c r="H9" s="46">
        <f>IF(AND('SA Oct 2021'!R3&gt;0,'SA Oct 2021'!T3&gt;0),IF(($C$5&lt;'SA Oct 2021'!T3),(0),($C$5-'SA Oct 2021'!T3)*'SA Oct 2021'!U3/100),IF(AND('SA Oct 2021'!R3&gt;0,'SA Oct 2021'!T3=""),IF(($C$5&lt;'SA Oct 2021'!R3+'SA Oct 2021'!P3),(0),(($C$5-('SA Oct 2021'!R3+'SA Oct 2021'!P3))*'SA Oct 2021'!S3/100)),IF(AND('SA Oct 2021'!P3&gt;0,'SA Oct 2021'!R3=""&gt;0),IF(($C$5&lt;'SA Oct 2021'!P3),(0),($C$5-'SA Oct 2021'!P3)*'SA Oct 2021'!Q3/100),0)))</f>
        <v>0</v>
      </c>
      <c r="I9" s="52">
        <f t="shared" ref="I9:I11" si="2">SUM(C9:H9)</f>
        <v>1435.045090909091</v>
      </c>
      <c r="J9" s="109">
        <f t="shared" ref="J9:J26" si="3">(I9-C9)*4</f>
        <v>5427.2727272727279</v>
      </c>
      <c r="K9" s="109">
        <f t="shared" si="0"/>
        <v>5740.1803636363638</v>
      </c>
      <c r="L9" s="53">
        <f t="shared" ref="L9:L26" si="4">K9*1.1</f>
        <v>6314.1984000000011</v>
      </c>
      <c r="M9" s="54">
        <f>'SA Oct 2021'!BB3</f>
        <v>0</v>
      </c>
      <c r="N9" s="54">
        <f>'SA Oct 2021'!BC3</f>
        <v>0</v>
      </c>
      <c r="O9" s="54">
        <f>'SA Oct 2021'!BD3</f>
        <v>0</v>
      </c>
      <c r="P9" s="54">
        <f>'SA Oct 2021'!BE3</f>
        <v>0</v>
      </c>
      <c r="Q9" s="110" t="str">
        <f t="shared" ref="Q9:Q26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5740.1803636363638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5740.1803636363638</v>
      </c>
      <c r="U9" s="97">
        <f t="shared" ref="U9:V23" si="6">S9*1.1</f>
        <v>6314.1984000000011</v>
      </c>
      <c r="V9" s="98">
        <f t="shared" si="6"/>
        <v>6314.1984000000011</v>
      </c>
      <c r="W9" s="55">
        <f>'SA Oct 2021'!BL3</f>
        <v>0</v>
      </c>
      <c r="X9" s="56" t="str">
        <f>'SA Oct 2021'!BM3</f>
        <v>n</v>
      </c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322"/>
      <c r="AQ9" s="322"/>
      <c r="AR9" s="322"/>
    </row>
    <row r="10" spans="1:44" ht="14" x14ac:dyDescent="0.15">
      <c r="A10" s="70" t="str">
        <f>'SA Oct 2021'!K4</f>
        <v>Diamond Energy</v>
      </c>
      <c r="B10" s="49" t="str">
        <f>'SA Oct 2021'!L4</f>
        <v>Renewable Saver POT</v>
      </c>
      <c r="C10" s="46">
        <f>IF('SA Oct 2021'!BP4=0,91*'SA Oct 2021'!M4/100,(91*'SA Oct 2021'!M4/100)+'SA Oct 2021'!BP4/4)</f>
        <v>86.904999999999987</v>
      </c>
      <c r="D10" s="46">
        <f>IF('SA Oct 2021'!O4="",$C$5*'SA Oct 2021'!N4/100,IF($C$5&gt;='SA Oct 2021'!P4,('SA Oct 2021'!P4*'SA Oct 2021'!N4/100),($C$5*'SA Oct 2021'!N4/100)))</f>
        <v>301.5454545454545</v>
      </c>
      <c r="E10" s="46">
        <f>IF(AND('SA Oct 2021'!P4&gt;0,'SA Oct 2021'!R4&gt;0),IF($C$5&lt;'SA Oct 2021'!P4,0,IF($C$5&lt;=('SA Oct 2021'!R4+'SA Oct 2021'!P4),(($C$5-'SA Oct 2021'!P4)*'SA Oct 2021'!Q4/100),(('SA Oct 2021'!R4)*'SA Oct 2021'!Q4/100))),0)</f>
        <v>0</v>
      </c>
      <c r="F10" s="46">
        <f>IF(AND('SA Oct 2021'!Q4&gt;0,'SA Oct 2021'!S4&gt;0),IF($C$5&lt;('SA Oct 2021'!R4+'SA Oct 2021'!P4),0,IF($C$5&lt;=('SA Oct 2021'!T4+'SA Oct 2021'!R4+'SA Oct 2021'!P4),(($C$5-('SA Oct 2021'!R4+'SA Oct 2021'!P4))*'SA Oct 2021'!S4/100),('SA Oct 2021'!T4*'SA Oct 2021'!S4/100))),0)</f>
        <v>0</v>
      </c>
      <c r="G10" s="50">
        <v>0</v>
      </c>
      <c r="H10" s="46">
        <f>IF(AND('SA Oct 2021'!R4&gt;0,'SA Oct 2021'!T4&gt;0),IF(($C$5&lt;'SA Oct 2021'!T4),(0),($C$5-'SA Oct 2021'!T4)*'SA Oct 2021'!U4/100),IF(AND('SA Oct 2021'!R4&gt;0,'SA Oct 2021'!T4=""),IF(($C$5&lt;'SA Oct 2021'!R4+'SA Oct 2021'!P4),(0),(($C$5-('SA Oct 2021'!R4+'SA Oct 2021'!P4))*'SA Oct 2021'!S4/100)),IF(AND('SA Oct 2021'!P4&gt;0,'SA Oct 2021'!R4=""&gt;0),IF(($C$5&lt;'SA Oct 2021'!P4),(0),($C$5-'SA Oct 2021'!P4)*'SA Oct 2021'!Q4/100),0)))</f>
        <v>1470.181818181818</v>
      </c>
      <c r="I10" s="52">
        <f t="shared" si="2"/>
        <v>1858.6322727272725</v>
      </c>
      <c r="J10" s="109">
        <f t="shared" si="3"/>
        <v>7086.9090909090901</v>
      </c>
      <c r="K10" s="109">
        <f t="shared" si="0"/>
        <v>7434.52909090909</v>
      </c>
      <c r="L10" s="53">
        <f t="shared" si="4"/>
        <v>8177.982</v>
      </c>
      <c r="M10" s="54">
        <f>'SA Oct 2021'!BB4</f>
        <v>0</v>
      </c>
      <c r="N10" s="54">
        <f>'SA Oct 2021'!BC4</f>
        <v>0</v>
      </c>
      <c r="O10" s="54">
        <f>'SA Oct 2021'!BD4</f>
        <v>7</v>
      </c>
      <c r="P10" s="54">
        <f>'SA Oct 2021'!BE4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6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7434.52909090909</v>
      </c>
      <c r="T10" s="112">
        <f t="shared" ref="T10:T25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6914.1120545454542</v>
      </c>
      <c r="U10" s="97">
        <f t="shared" si="6"/>
        <v>8177.982</v>
      </c>
      <c r="V10" s="98">
        <f t="shared" si="6"/>
        <v>7605.5232599999999</v>
      </c>
      <c r="W10" s="55">
        <f>'SA Oct 2021'!BL4</f>
        <v>0</v>
      </c>
      <c r="X10" s="56" t="str">
        <f>'SA Oct 2021'!BM4</f>
        <v>n</v>
      </c>
      <c r="Y10" s="322"/>
      <c r="Z10" s="322"/>
      <c r="AA10" s="322"/>
      <c r="AB10" s="322"/>
      <c r="AC10" s="322"/>
      <c r="AD10" s="322"/>
      <c r="AE10" s="322"/>
      <c r="AF10" s="322"/>
      <c r="AG10" s="322"/>
      <c r="AH10" s="322"/>
      <c r="AI10" s="322"/>
      <c r="AJ10" s="322"/>
      <c r="AK10" s="322"/>
      <c r="AL10" s="322"/>
      <c r="AM10" s="322"/>
      <c r="AN10" s="322"/>
      <c r="AO10" s="322"/>
      <c r="AP10" s="322"/>
      <c r="AQ10" s="322"/>
      <c r="AR10" s="322"/>
    </row>
    <row r="11" spans="1:44" ht="14" x14ac:dyDescent="0.15">
      <c r="A11" s="70" t="str">
        <f>'SA Oct 2021'!K5</f>
        <v>EnergyAustralia</v>
      </c>
      <c r="B11" s="49" t="str">
        <f>'SA Oct 2021'!L5</f>
        <v>Total Plan</v>
      </c>
      <c r="C11" s="46">
        <f>IF('SA Oct 2021'!BP5=0,91*'SA Oct 2021'!M5/100,(91*'SA Oct 2021'!M5/100)+'SA Oct 2021'!BP5/4)</f>
        <v>89.634999999999977</v>
      </c>
      <c r="D11" s="46">
        <f>IF('SA Oct 2021'!O5="",$C$5*'SA Oct 2021'!N5/100,IF($C$5&gt;='SA Oct 2021'!P5,('SA Oct 2021'!P5*'SA Oct 2021'!N5/100),($C$5*'SA Oct 2021'!N5/100)))</f>
        <v>1735.9090909090905</v>
      </c>
      <c r="E11" s="46">
        <f>IF(AND('SA Oct 2021'!P5&gt;0,'SA Oct 2021'!R5&gt;0),IF($C$5&lt;'SA Oct 2021'!P5,0,IF($C$5&lt;=('SA Oct 2021'!R5+'SA Oct 2021'!P5),(($C$5-'SA Oct 2021'!P5)*'SA Oct 2021'!Q5/100),(('SA Oct 2021'!R5)*'SA Oct 2021'!Q5/100))),0)</f>
        <v>0</v>
      </c>
      <c r="F11" s="46">
        <f>IF(AND('SA Oct 2021'!Q5&gt;0,'SA Oct 2021'!S5&gt;0),IF($C$5&lt;('SA Oct 2021'!R5+'SA Oct 2021'!P5),0,IF($C$5&lt;=('SA Oct 2021'!T5+'SA Oct 2021'!R5+'SA Oct 2021'!P5),(($C$5-('SA Oct 2021'!R5+'SA Oct 2021'!P5))*'SA Oct 2021'!S5/100),('SA Oct 2021'!T5*'SA Oct 2021'!S5/100))),0)</f>
        <v>0</v>
      </c>
      <c r="G11" s="50">
        <v>0</v>
      </c>
      <c r="H11" s="46">
        <f>IF(AND('SA Oct 2021'!R5&gt;0,'SA Oct 2021'!T5&gt;0),IF(($C$5&lt;'SA Oct 2021'!T5),(0),($C$5-'SA Oct 2021'!T5)*'SA Oct 2021'!U5/100),IF(AND('SA Oct 2021'!R5&gt;0,'SA Oct 2021'!T5=""),IF(($C$5&lt;'SA Oct 2021'!R5+'SA Oct 2021'!P5),(0),(($C$5-('SA Oct 2021'!R5+'SA Oct 2021'!P5))*'SA Oct 2021'!S5/100)),IF(AND('SA Oct 2021'!P5&gt;0,'SA Oct 2021'!R5=""&gt;0),IF(($C$5&lt;'SA Oct 2021'!P5),(0),($C$5-'SA Oct 2021'!P5)*'SA Oct 2021'!Q5/100),0)))</f>
        <v>0</v>
      </c>
      <c r="I11" s="52">
        <f t="shared" si="2"/>
        <v>1825.5440909090905</v>
      </c>
      <c r="J11" s="109">
        <f t="shared" si="3"/>
        <v>6943.6363636363621</v>
      </c>
      <c r="K11" s="109">
        <f t="shared" si="0"/>
        <v>7302.1763636363621</v>
      </c>
      <c r="L11" s="53">
        <f t="shared" si="4"/>
        <v>8032.3939999999993</v>
      </c>
      <c r="M11" s="54">
        <f>'SA Oct 2021'!BB5</f>
        <v>3</v>
      </c>
      <c r="N11" s="54">
        <f>'SA Oct 2021'!BC5</f>
        <v>0</v>
      </c>
      <c r="O11" s="54">
        <f>'SA Oct 2021'!BD5</f>
        <v>0</v>
      </c>
      <c r="P11" s="54">
        <f>'SA Oct 2021'!BE5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7083.1110727272717</v>
      </c>
      <c r="T11" s="112">
        <f t="shared" si="8"/>
        <v>7083.1110727272717</v>
      </c>
      <c r="U11" s="97">
        <f t="shared" si="6"/>
        <v>7791.4221799999996</v>
      </c>
      <c r="V11" s="98">
        <f t="shared" si="6"/>
        <v>7791.4221799999996</v>
      </c>
      <c r="W11" s="55">
        <f>'SA Oct 2021'!BL5</f>
        <v>0</v>
      </c>
      <c r="X11" s="56" t="str">
        <f>'SA Oct 2021'!BM5</f>
        <v>n</v>
      </c>
      <c r="Y11" s="325"/>
      <c r="Z11" s="325"/>
      <c r="AA11" s="325"/>
      <c r="AB11" s="325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</row>
    <row r="12" spans="1:44" ht="14" x14ac:dyDescent="0.15">
      <c r="A12" s="70" t="str">
        <f>'SA Oct 2021'!K6</f>
        <v>Lumo Energy</v>
      </c>
      <c r="B12" s="49" t="str">
        <f>'SA Oct 2021'!L6</f>
        <v>Basic</v>
      </c>
      <c r="C12" s="46">
        <f>IF('SA Oct 2021'!BP6=0,91*'SA Oct 2021'!M6/100,(91*'SA Oct 2021'!M6/100)+'SA Oct 2021'!BP6/4)</f>
        <v>78.276545454545442</v>
      </c>
      <c r="D12" s="46">
        <f>IF('SA Oct 2021'!O6="",$C$5*'SA Oct 2021'!N6/100,IF($C$5&gt;='SA Oct 2021'!P6,('SA Oct 2021'!P6*'SA Oct 2021'!N6/100),($C$5*'SA Oct 2021'!N6/100)))</f>
        <v>1477.7272727272727</v>
      </c>
      <c r="E12" s="46">
        <f>IF(AND('SA Oct 2021'!P6&gt;0,'SA Oct 2021'!R6&gt;0),IF($C$5&lt;'SA Oct 2021'!P6,0,IF($C$5&lt;=('SA Oct 2021'!R6+'SA Oct 2021'!P6),(($C$5-'SA Oct 2021'!P6)*'SA Oct 2021'!Q6/100),(('SA Oct 2021'!R6)*'SA Oct 2021'!Q6/100))),0)</f>
        <v>0</v>
      </c>
      <c r="F12" s="46">
        <f>IF(AND('SA Oct 2021'!Q6&gt;0,'SA Oct 2021'!S6&gt;0),IF($C$5&lt;('SA Oct 2021'!R6+'SA Oct 2021'!P6),0,IF($C$5&lt;=('SA Oct 2021'!T6+'SA Oct 2021'!R6+'SA Oct 2021'!P6),(($C$5-('SA Oct 2021'!R6+'SA Oct 2021'!P6))*'SA Oct 2021'!S6/100),('SA Oct 2021'!T6*'SA Oct 2021'!S6/100))),0)</f>
        <v>0</v>
      </c>
      <c r="G12" s="50">
        <v>1</v>
      </c>
      <c r="H12" s="46">
        <f>IF(AND('SA Oct 2021'!R6&gt;0,'SA Oct 2021'!T6&gt;0),IF(($C$5&lt;'SA Oct 2021'!T6),(0),($C$5-'SA Oct 2021'!T6)*'SA Oct 2021'!U6/100),IF(AND('SA Oct 2021'!R6&gt;0,'SA Oct 2021'!T6=""),IF(($C$5&lt;'SA Oct 2021'!R6+'SA Oct 2021'!P6),(0),(($C$5-('SA Oct 2021'!R6+'SA Oct 2021'!P6))*'SA Oct 2021'!S6/100)),IF(AND('SA Oct 2021'!P6&gt;0,'SA Oct 2021'!R6=""&gt;0),IF(($C$5&lt;'SA Oct 2021'!P6),(0),($C$5-'SA Oct 2021'!P6)*'SA Oct 2021'!Q6/100),0)))</f>
        <v>0</v>
      </c>
      <c r="I12" s="52">
        <f t="shared" ref="I12" si="9">SUM(C12:H12)</f>
        <v>1557.0038181818181</v>
      </c>
      <c r="J12" s="109">
        <f t="shared" si="3"/>
        <v>5914.909090909091</v>
      </c>
      <c r="K12" s="109">
        <f t="shared" si="0"/>
        <v>6228.0152727272725</v>
      </c>
      <c r="L12" s="53">
        <f t="shared" si="4"/>
        <v>6850.8168000000005</v>
      </c>
      <c r="M12" s="54">
        <f>'SA Oct 2021'!BB6</f>
        <v>0</v>
      </c>
      <c r="N12" s="54">
        <f>'SA Oct 2021'!BC6</f>
        <v>0</v>
      </c>
      <c r="O12" s="54">
        <f>'SA Oct 2021'!BD6</f>
        <v>0</v>
      </c>
      <c r="P12" s="54">
        <f>'SA Oct 2021'!BE6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6228.0152727272725</v>
      </c>
      <c r="T12" s="112">
        <f t="shared" si="8"/>
        <v>6228.0152727272725</v>
      </c>
      <c r="U12" s="97">
        <f t="shared" si="6"/>
        <v>6850.8168000000005</v>
      </c>
      <c r="V12" s="98">
        <f t="shared" si="6"/>
        <v>6850.8168000000005</v>
      </c>
      <c r="W12" s="55">
        <f>'SA Oct 2021'!BL6</f>
        <v>0</v>
      </c>
      <c r="X12" s="56" t="str">
        <f>'SA Oct 2021'!BM6</f>
        <v>n</v>
      </c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/>
      <c r="AP12" s="322"/>
      <c r="AQ12" s="322"/>
      <c r="AR12" s="322"/>
    </row>
    <row r="13" spans="1:44" ht="14" x14ac:dyDescent="0.15">
      <c r="A13" s="70" t="str">
        <f>'SA Oct 2021'!K7</f>
        <v>Momentum Energy</v>
      </c>
      <c r="B13" s="49" t="str">
        <f>'SA Oct 2021'!L7</f>
        <v>SmilePower Flexi</v>
      </c>
      <c r="C13" s="46">
        <f>IF('SA Oct 2021'!BP7=0,91*'SA Oct 2021'!M7/100,(91*'SA Oct 2021'!M7/100)+'SA Oct 2021'!BP7/4)</f>
        <v>104.02954545454544</v>
      </c>
      <c r="D13" s="46">
        <f>IF('SA Oct 2021'!O7="",$C$5*'SA Oct 2021'!N7/100,IF($C$5&gt;='SA Oct 2021'!P7,('SA Oct 2021'!P7*'SA Oct 2021'!N7/100),($C$5*'SA Oct 2021'!N7/100)))</f>
        <v>1538.6363636363635</v>
      </c>
      <c r="E13" s="46">
        <f>IF(AND('SA Oct 2021'!P7&gt;0,'SA Oct 2021'!R7&gt;0),IF($C$5&lt;'SA Oct 2021'!P7,0,IF($C$5&lt;=('SA Oct 2021'!R7+'SA Oct 2021'!P7),(($C$5-'SA Oct 2021'!P7)*'SA Oct 2021'!Q7/100),(('SA Oct 2021'!R7)*'SA Oct 2021'!Q7/100))),0)</f>
        <v>0</v>
      </c>
      <c r="F13" s="46">
        <f>IF(AND('SA Oct 2021'!Q7&gt;0,'SA Oct 2021'!S7&gt;0),IF($C$5&lt;('SA Oct 2021'!R7+'SA Oct 2021'!P7),0,IF($C$5&lt;=('SA Oct 2021'!T7+'SA Oct 2021'!R7+'SA Oct 2021'!P7),(($C$5-('SA Oct 2021'!R7+'SA Oct 2021'!P7))*'SA Oct 2021'!S7/100),('SA Oct 2021'!T7*'SA Oct 2021'!S7/100))),0)</f>
        <v>0</v>
      </c>
      <c r="G13" s="50">
        <v>0</v>
      </c>
      <c r="H13" s="46">
        <f>IF(AND('SA Oct 2021'!R7&gt;0,'SA Oct 2021'!T7&gt;0),IF(($C$5&lt;'SA Oct 2021'!T7),(0),($C$5-'SA Oct 2021'!T7)*'SA Oct 2021'!U7/100),IF(AND('SA Oct 2021'!R7&gt;0,'SA Oct 2021'!T7=""),IF(($C$5&lt;'SA Oct 2021'!R7+'SA Oct 2021'!P7),(0),(($C$5-('SA Oct 2021'!R7+'SA Oct 2021'!P7))*'SA Oct 2021'!S7/100)),IF(AND('SA Oct 2021'!P7&gt;0,'SA Oct 2021'!R7=""&gt;0),IF(($C$5&lt;'SA Oct 2021'!P7),(0),($C$5-'SA Oct 2021'!P7)*'SA Oct 2021'!Q7/100),0)))</f>
        <v>0</v>
      </c>
      <c r="I13" s="52">
        <f t="shared" ref="I13:I22" si="10">SUM(C13:H13)</f>
        <v>1642.6659090909091</v>
      </c>
      <c r="J13" s="109">
        <f t="shared" si="3"/>
        <v>6154.545454545454</v>
      </c>
      <c r="K13" s="109">
        <f t="shared" si="0"/>
        <v>6570.6636363636362</v>
      </c>
      <c r="L13" s="53">
        <f t="shared" si="4"/>
        <v>7227.7300000000005</v>
      </c>
      <c r="M13" s="54">
        <f>'SA Oct 2021'!BB7</f>
        <v>0</v>
      </c>
      <c r="N13" s="54">
        <f>'SA Oct 2021'!BC7</f>
        <v>0</v>
      </c>
      <c r="O13" s="54">
        <f>'SA Oct 2021'!BD7</f>
        <v>0</v>
      </c>
      <c r="P13" s="54">
        <f>'SA Oct 2021'!BE7</f>
        <v>0</v>
      </c>
      <c r="Q13" s="110" t="str">
        <f t="shared" si="5"/>
        <v>No discount</v>
      </c>
      <c r="R13" s="73" t="str">
        <f t="shared" si="1"/>
        <v>Exclusive</v>
      </c>
      <c r="S13" s="111">
        <f t="shared" si="7"/>
        <v>6570.6636363636362</v>
      </c>
      <c r="T13" s="112">
        <f t="shared" si="8"/>
        <v>6570.6636363636362</v>
      </c>
      <c r="U13" s="97">
        <f t="shared" si="6"/>
        <v>7227.7300000000005</v>
      </c>
      <c r="V13" s="98">
        <f t="shared" si="6"/>
        <v>7227.7300000000005</v>
      </c>
      <c r="W13" s="55">
        <f>'SA Oct 2021'!BL7</f>
        <v>0</v>
      </c>
      <c r="X13" s="56" t="str">
        <f>'SA Oct 2021'!BM7</f>
        <v>n</v>
      </c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</row>
    <row r="14" spans="1:44" ht="14" x14ac:dyDescent="0.15">
      <c r="A14" s="70" t="str">
        <f>'SA Oct 2021'!K8</f>
        <v>Origin Energy</v>
      </c>
      <c r="B14" s="49" t="str">
        <f>'SA Oct 2021'!L8</f>
        <v>Go</v>
      </c>
      <c r="C14" s="46">
        <f>IF('SA Oct 2021'!BP8=0,91*'SA Oct 2021'!M8/100,(91*'SA Oct 2021'!M8/100)+'SA Oct 2021'!BP8/4)</f>
        <v>66.736090909090905</v>
      </c>
      <c r="D14" s="46">
        <f>IF('SA Oct 2021'!O8="",$C$5*'SA Oct 2021'!N8/100,IF($C$5&gt;='SA Oct 2021'!P8,('SA Oct 2021'!P8*'SA Oct 2021'!N8/100),($C$5*'SA Oct 2021'!N8/100)))</f>
        <v>1466.8181818181818</v>
      </c>
      <c r="E14" s="46">
        <f>IF(AND('SA Oct 2021'!P8&gt;0,'SA Oct 2021'!R8&gt;0),IF($C$5&lt;'SA Oct 2021'!P8,0,IF($C$5&lt;=('SA Oct 2021'!R8+'SA Oct 2021'!P8),(($C$5-'SA Oct 2021'!P8)*'SA Oct 2021'!Q8/100),(('SA Oct 2021'!R8)*'SA Oct 2021'!Q8/100))),0)</f>
        <v>0</v>
      </c>
      <c r="F14" s="46">
        <f>IF(AND('SA Oct 2021'!Q8&gt;0,'SA Oct 2021'!S8&gt;0),IF($C$5&lt;('SA Oct 2021'!R8+'SA Oct 2021'!P8),0,IF($C$5&lt;=('SA Oct 2021'!T8+'SA Oct 2021'!R8+'SA Oct 2021'!P8),(($C$5-('SA Oct 2021'!R8+'SA Oct 2021'!P8))*'SA Oct 2021'!S8/100),('SA Oct 2021'!T8*'SA Oct 2021'!S8/100))),0)</f>
        <v>0</v>
      </c>
      <c r="G14" s="50">
        <v>0</v>
      </c>
      <c r="H14" s="46">
        <f>IF(AND('SA Oct 2021'!R8&gt;0,'SA Oct 2021'!T8&gt;0),IF(($C$5&lt;'SA Oct 2021'!T8),(0),($C$5-'SA Oct 2021'!T8)*'SA Oct 2021'!U8/100),IF(AND('SA Oct 2021'!R8&gt;0,'SA Oct 2021'!T8=""),IF(($C$5&lt;'SA Oct 2021'!R8+'SA Oct 2021'!P8),(0),(($C$5-('SA Oct 2021'!R8+'SA Oct 2021'!P8))*'SA Oct 2021'!S8/100)),IF(AND('SA Oct 2021'!P8&gt;0,'SA Oct 2021'!R8=""&gt;0),IF(($C$5&lt;'SA Oct 2021'!P8),(0),($C$5-'SA Oct 2021'!P8)*'SA Oct 2021'!Q8/100),0)))</f>
        <v>0</v>
      </c>
      <c r="I14" s="52">
        <f t="shared" si="10"/>
        <v>1533.5542727272727</v>
      </c>
      <c r="J14" s="109">
        <f t="shared" si="3"/>
        <v>5867.272727272727</v>
      </c>
      <c r="K14" s="109">
        <f t="shared" si="0"/>
        <v>6134.217090909091</v>
      </c>
      <c r="L14" s="53">
        <f t="shared" si="4"/>
        <v>6747.6388000000006</v>
      </c>
      <c r="M14" s="54">
        <f>'SA Oct 2021'!BB8</f>
        <v>0</v>
      </c>
      <c r="N14" s="54">
        <f>'SA Oct 2021'!BC8</f>
        <v>0</v>
      </c>
      <c r="O14" s="54">
        <f>'SA Oct 2021'!BD8</f>
        <v>0</v>
      </c>
      <c r="P14" s="54">
        <f>'SA Oct 2021'!BE8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6134.217090909091</v>
      </c>
      <c r="T14" s="112">
        <f t="shared" si="8"/>
        <v>6134.217090909091</v>
      </c>
      <c r="U14" s="97">
        <f t="shared" si="6"/>
        <v>6747.6388000000006</v>
      </c>
      <c r="V14" s="98">
        <f t="shared" si="6"/>
        <v>6747.6388000000006</v>
      </c>
      <c r="W14" s="55">
        <f>'SA Oct 2021'!BL8</f>
        <v>0</v>
      </c>
      <c r="X14" s="56" t="str">
        <f>'SA Oct 2021'!BM8</f>
        <v>n</v>
      </c>
      <c r="Y14" s="322"/>
      <c r="Z14" s="322"/>
      <c r="AA14" s="322"/>
      <c r="AB14" s="322"/>
      <c r="AC14" s="322"/>
      <c r="AD14" s="322"/>
      <c r="AE14" s="322"/>
      <c r="AF14" s="322"/>
      <c r="AG14" s="322"/>
      <c r="AH14" s="322"/>
      <c r="AI14" s="322"/>
      <c r="AJ14" s="322"/>
      <c r="AK14" s="322"/>
      <c r="AL14" s="322"/>
      <c r="AM14" s="322"/>
      <c r="AN14" s="322"/>
      <c r="AO14" s="322"/>
      <c r="AP14" s="322"/>
      <c r="AQ14" s="322"/>
      <c r="AR14" s="322"/>
    </row>
    <row r="15" spans="1:44" ht="14" x14ac:dyDescent="0.15">
      <c r="A15" s="70" t="str">
        <f>'SA Oct 2021'!K9</f>
        <v>Powerdirect</v>
      </c>
      <c r="B15" s="49" t="str">
        <f>'SA Oct 2021'!L9</f>
        <v>Business Rate Saver</v>
      </c>
      <c r="C15" s="46">
        <f>IF('SA Oct 2021'!BP9=0,91*'SA Oct 2021'!M9/100,(91*'SA Oct 2021'!M9/100)+'SA Oct 2021'!BP9/4)</f>
        <v>80.832818181818169</v>
      </c>
      <c r="D15" s="46">
        <f>IF('SA Oct 2021'!O9="",$C$5*'SA Oct 2021'!N9/100,IF($C$5&gt;='SA Oct 2021'!P9,('SA Oct 2021'!P9*'SA Oct 2021'!N9/100),($C$5*'SA Oct 2021'!N9/100)))</f>
        <v>1506.8181818181818</v>
      </c>
      <c r="E15" s="46">
        <f>IF(AND('SA Oct 2021'!P9&gt;0,'SA Oct 2021'!R9&gt;0),IF($C$5&lt;'SA Oct 2021'!P9,0,IF($C$5&lt;=('SA Oct 2021'!R9+'SA Oct 2021'!P9),(($C$5-'SA Oct 2021'!P9)*'SA Oct 2021'!Q9/100),(('SA Oct 2021'!R9)*'SA Oct 2021'!Q9/100))),0)</f>
        <v>0</v>
      </c>
      <c r="F15" s="46">
        <f>IF(AND('SA Oct 2021'!Q9&gt;0,'SA Oct 2021'!S9&gt;0),IF($C$5&lt;('SA Oct 2021'!R9+'SA Oct 2021'!P9),0,IF($C$5&lt;=('SA Oct 2021'!T9+'SA Oct 2021'!R9+'SA Oct 2021'!P9),(($C$5-('SA Oct 2021'!R9+'SA Oct 2021'!P9))*'SA Oct 2021'!S9/100),('SA Oct 2021'!T9*'SA Oct 2021'!S9/100))),0)</f>
        <v>0</v>
      </c>
      <c r="G15" s="50">
        <v>0</v>
      </c>
      <c r="H15" s="46">
        <f>IF(AND('SA Oct 2021'!R9&gt;0,'SA Oct 2021'!T9&gt;0),IF(($C$5&lt;'SA Oct 2021'!T9),(0),($C$5-'SA Oct 2021'!T9)*'SA Oct 2021'!U9/100),IF(AND('SA Oct 2021'!R9&gt;0,'SA Oct 2021'!T9=""),IF(($C$5&lt;'SA Oct 2021'!R9+'SA Oct 2021'!P9),(0),(($C$5-('SA Oct 2021'!R9+'SA Oct 2021'!P9))*'SA Oct 2021'!S9/100)),IF(AND('SA Oct 2021'!P9&gt;0,'SA Oct 2021'!R9=""&gt;0),IF(($C$5&lt;'SA Oct 2021'!P9),(0),($C$5-'SA Oct 2021'!P9)*'SA Oct 2021'!Q9/100),0)))</f>
        <v>0</v>
      </c>
      <c r="I15" s="52">
        <f t="shared" si="10"/>
        <v>1587.6509999999998</v>
      </c>
      <c r="J15" s="109">
        <f t="shared" si="3"/>
        <v>6027.272727272727</v>
      </c>
      <c r="K15" s="109">
        <f t="shared" si="0"/>
        <v>6350.6039999999994</v>
      </c>
      <c r="L15" s="53">
        <f t="shared" si="4"/>
        <v>6985.6643999999997</v>
      </c>
      <c r="M15" s="54">
        <f>'SA Oct 2021'!BB9</f>
        <v>0</v>
      </c>
      <c r="N15" s="54">
        <f>'SA Oct 2021'!BC9</f>
        <v>0</v>
      </c>
      <c r="O15" s="54">
        <f>'SA Oct 2021'!BD9</f>
        <v>0</v>
      </c>
      <c r="P15" s="54">
        <f>'SA Oct 2021'!BE9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6350.6039999999994</v>
      </c>
      <c r="T15" s="112">
        <f t="shared" si="8"/>
        <v>6350.6039999999994</v>
      </c>
      <c r="U15" s="97">
        <f t="shared" si="6"/>
        <v>6985.6643999999997</v>
      </c>
      <c r="V15" s="98">
        <f t="shared" si="6"/>
        <v>6985.6643999999997</v>
      </c>
      <c r="W15" s="55">
        <f>'SA Oct 2021'!BL9</f>
        <v>0</v>
      </c>
      <c r="X15" s="56" t="str">
        <f>'SA Oct 2021'!BM9</f>
        <v>n</v>
      </c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</row>
    <row r="16" spans="1:44" ht="14" x14ac:dyDescent="0.15">
      <c r="A16" s="70" t="str">
        <f>'SA Oct 2021'!K10</f>
        <v>Red Energy</v>
      </c>
      <c r="B16" s="49" t="str">
        <f>'SA Oct 2021'!L10</f>
        <v>Red Business Saver</v>
      </c>
      <c r="C16" s="46">
        <f>IF('SA Oct 2021'!BP10=0,91*'SA Oct 2021'!M10/100,(91*'SA Oct 2021'!M10/100)+'SA Oct 2021'!BP10/4)</f>
        <v>78.276545454545442</v>
      </c>
      <c r="D16" s="46">
        <f>IF('SA Oct 2021'!O10="",$C$5*'SA Oct 2021'!N10/100,IF($C$5&gt;='SA Oct 2021'!P10,('SA Oct 2021'!P10*'SA Oct 2021'!N10/100),($C$5*'SA Oct 2021'!N10/100)))</f>
        <v>1477.7272727272727</v>
      </c>
      <c r="E16" s="46">
        <f>IF(AND('SA Oct 2021'!P10&gt;0,'SA Oct 2021'!R10&gt;0),IF($C$5&lt;'SA Oct 2021'!P10,0,IF($C$5&lt;=('SA Oct 2021'!R10+'SA Oct 2021'!P10),(($C$5-'SA Oct 2021'!P10)*'SA Oct 2021'!Q10/100),(('SA Oct 2021'!R10)*'SA Oct 2021'!Q10/100))),0)</f>
        <v>0</v>
      </c>
      <c r="F16" s="46">
        <f>IF(AND('SA Oct 2021'!Q10&gt;0,'SA Oct 2021'!S10&gt;0),IF($C$5&lt;('SA Oct 2021'!R10+'SA Oct 2021'!P10),0,IF($C$5&lt;=('SA Oct 2021'!T10+'SA Oct 2021'!R10+'SA Oct 2021'!P10),(($C$5-('SA Oct 2021'!R10+'SA Oct 2021'!P10))*'SA Oct 2021'!S10/100),('SA Oct 2021'!T10*'SA Oct 2021'!S10/100))),0)</f>
        <v>0</v>
      </c>
      <c r="G16" s="50">
        <v>0</v>
      </c>
      <c r="H16" s="46">
        <f>IF(AND('SA Oct 2021'!R10&gt;0,'SA Oct 2021'!T10&gt;0),IF(($C$5&lt;'SA Oct 2021'!T10),(0),($C$5-'SA Oct 2021'!T10)*'SA Oct 2021'!U10/100),IF(AND('SA Oct 2021'!R10&gt;0,'SA Oct 2021'!T10=""),IF(($C$5&lt;'SA Oct 2021'!R10+'SA Oct 2021'!P10),(0),(($C$5-('SA Oct 2021'!R10+'SA Oct 2021'!P10))*'SA Oct 2021'!S10/100)),IF(AND('SA Oct 2021'!P10&gt;0,'SA Oct 2021'!R10=""&gt;0),IF(($C$5&lt;'SA Oct 2021'!P10),(0),($C$5-'SA Oct 2021'!P10)*'SA Oct 2021'!Q10/100),0)))</f>
        <v>0</v>
      </c>
      <c r="I16" s="52">
        <f t="shared" si="10"/>
        <v>1556.0038181818181</v>
      </c>
      <c r="J16" s="109">
        <f t="shared" si="3"/>
        <v>5910.909090909091</v>
      </c>
      <c r="K16" s="109">
        <f t="shared" si="0"/>
        <v>6224.0152727272725</v>
      </c>
      <c r="L16" s="53">
        <f t="shared" si="4"/>
        <v>6846.4168</v>
      </c>
      <c r="M16" s="54">
        <f>'SA Oct 2021'!BB10</f>
        <v>0</v>
      </c>
      <c r="N16" s="54">
        <f>'SA Oct 2021'!BC10</f>
        <v>0</v>
      </c>
      <c r="O16" s="54">
        <f>'SA Oct 2021'!BD10</f>
        <v>0</v>
      </c>
      <c r="P16" s="54">
        <f>'SA Oct 2021'!BE10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6224.0152727272725</v>
      </c>
      <c r="T16" s="112">
        <f t="shared" si="8"/>
        <v>6224.0152727272725</v>
      </c>
      <c r="U16" s="97">
        <f t="shared" si="6"/>
        <v>6846.4168</v>
      </c>
      <c r="V16" s="98">
        <f t="shared" si="6"/>
        <v>6846.4168</v>
      </c>
      <c r="W16" s="55">
        <f>'SA Oct 2021'!BL10</f>
        <v>0</v>
      </c>
      <c r="X16" s="56" t="str">
        <f>'SA Oct 2021'!BM10</f>
        <v>n</v>
      </c>
      <c r="Y16" s="325"/>
      <c r="Z16" s="325"/>
      <c r="AA16" s="325"/>
      <c r="AB16" s="325"/>
      <c r="AC16" s="325"/>
      <c r="AD16" s="325"/>
      <c r="AE16" s="325"/>
      <c r="AF16" s="325"/>
      <c r="AG16" s="325"/>
      <c r="AH16" s="325"/>
      <c r="AI16" s="325"/>
      <c r="AJ16" s="325"/>
      <c r="AK16" s="325"/>
      <c r="AL16" s="325"/>
      <c r="AM16" s="325"/>
      <c r="AN16" s="325"/>
      <c r="AO16" s="325"/>
      <c r="AP16" s="325"/>
      <c r="AQ16" s="325"/>
      <c r="AR16" s="325"/>
    </row>
    <row r="17" spans="1:44" ht="14" x14ac:dyDescent="0.15">
      <c r="A17" s="70" t="str">
        <f>'SA Oct 2021'!K11</f>
        <v>Simply Energy</v>
      </c>
      <c r="B17" s="49" t="str">
        <f>'SA Oct 2021'!L11</f>
        <v>Business Saver</v>
      </c>
      <c r="C17" s="46">
        <f>IF('SA Oct 2021'!BP11=0,91*'SA Oct 2021'!M11/100,(91*'SA Oct 2021'!M11/100)+'SA Oct 2021'!BP11/4)</f>
        <v>88.179000000000002</v>
      </c>
      <c r="D17" s="46">
        <f>IF('SA Oct 2021'!O11="",$C$5*'SA Oct 2021'!N11/100,IF($C$5&gt;='SA Oct 2021'!P11,('SA Oct 2021'!P11*'SA Oct 2021'!N11/100),($C$5*'SA Oct 2021'!N11/100)))</f>
        <v>1318.9374545454546</v>
      </c>
      <c r="E17" s="46">
        <f>IF(AND('SA Oct 2021'!P11&gt;0,'SA Oct 2021'!R11&gt;0),IF($C$5&lt;'SA Oct 2021'!P11,0,IF($C$5&lt;=('SA Oct 2021'!R11+'SA Oct 2021'!P11),(($C$5-'SA Oct 2021'!P11)*'SA Oct 2021'!Q11/100),(('SA Oct 2021'!R11)*'SA Oct 2021'!Q11/100))),0)</f>
        <v>0</v>
      </c>
      <c r="F17" s="46">
        <f>IF(AND('SA Oct 2021'!Q11&gt;0,'SA Oct 2021'!S11&gt;0),IF($C$5&lt;('SA Oct 2021'!R11+'SA Oct 2021'!P11),0,IF($C$5&lt;=('SA Oct 2021'!T11+'SA Oct 2021'!R11+'SA Oct 2021'!P11),(($C$5-('SA Oct 2021'!R11+'SA Oct 2021'!P11))*'SA Oct 2021'!S11/100),('SA Oct 2021'!T11*'SA Oct 2021'!S11/100))),0)</f>
        <v>0</v>
      </c>
      <c r="G17" s="50">
        <v>0</v>
      </c>
      <c r="H17" s="46">
        <f>IF(AND('SA Oct 2021'!R11&gt;0,'SA Oct 2021'!T11&gt;0),IF(($C$5&lt;'SA Oct 2021'!T11),(0),($C$5-'SA Oct 2021'!T11)*'SA Oct 2021'!U11/100),IF(AND('SA Oct 2021'!R11&gt;0,'SA Oct 2021'!T11=""),IF(($C$5&lt;'SA Oct 2021'!R11+'SA Oct 2021'!P11),(0),(($C$5-('SA Oct 2021'!R11+'SA Oct 2021'!P11))*'SA Oct 2021'!S11/100)),IF(AND('SA Oct 2021'!P11&gt;0,'SA Oct 2021'!R11=""&gt;0),IF(($C$5&lt;'SA Oct 2021'!P11),(0),($C$5-'SA Oct 2021'!P11)*'SA Oct 2021'!Q11/100),0)))</f>
        <v>418.29709090909091</v>
      </c>
      <c r="I17" s="52">
        <f t="shared" si="10"/>
        <v>1825.4135454545456</v>
      </c>
      <c r="J17" s="109">
        <f t="shared" si="3"/>
        <v>6948.9381818181819</v>
      </c>
      <c r="K17" s="109">
        <f t="shared" si="0"/>
        <v>7301.6541818181822</v>
      </c>
      <c r="L17" s="53">
        <f t="shared" si="4"/>
        <v>8031.8196000000007</v>
      </c>
      <c r="M17" s="54">
        <f>'SA Oct 2021'!BB11</f>
        <v>18</v>
      </c>
      <c r="N17" s="54">
        <f>'SA Oct 2021'!BC11</f>
        <v>0</v>
      </c>
      <c r="O17" s="54">
        <f>'SA Oct 2021'!BD11</f>
        <v>0</v>
      </c>
      <c r="P17" s="54">
        <f>'SA Oct 2021'!BE11</f>
        <v>0</v>
      </c>
      <c r="Q17" s="110" t="str">
        <f t="shared" si="5"/>
        <v>Guaranteed off bill</v>
      </c>
      <c r="R17" s="73" t="str">
        <f t="shared" si="1"/>
        <v>Exclusive</v>
      </c>
      <c r="S17" s="111">
        <f t="shared" si="7"/>
        <v>5987.3564290909089</v>
      </c>
      <c r="T17" s="112">
        <f t="shared" si="8"/>
        <v>5987.3564290909089</v>
      </c>
      <c r="U17" s="97">
        <f t="shared" si="6"/>
        <v>6586.0920720000004</v>
      </c>
      <c r="V17" s="98">
        <f t="shared" si="6"/>
        <v>6586.0920720000004</v>
      </c>
      <c r="W17" s="55">
        <f>'SA Oct 2021'!BL11</f>
        <v>0</v>
      </c>
      <c r="X17" s="56" t="str">
        <f>'SA Oct 2021'!BM11</f>
        <v>n</v>
      </c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22"/>
      <c r="AM17" s="322"/>
      <c r="AN17" s="322"/>
      <c r="AO17" s="322"/>
      <c r="AP17" s="322"/>
      <c r="AQ17" s="322"/>
      <c r="AR17" s="322"/>
    </row>
    <row r="18" spans="1:44" ht="14" x14ac:dyDescent="0.15">
      <c r="A18" s="70" t="str">
        <f>'SA Oct 2021'!K12</f>
        <v>Blue NRG</v>
      </c>
      <c r="B18" s="49" t="str">
        <f>'SA Oct 2021'!L12</f>
        <v>Blue Lightning</v>
      </c>
      <c r="C18" s="46">
        <f>IF('SA Oct 2021'!BP12=0,91*'SA Oct 2021'!M12/100,(91*'SA Oct 2021'!M12/100)+'SA Oct 2021'!BP12/4)</f>
        <v>90.379545454545436</v>
      </c>
      <c r="D18" s="46">
        <f>IF('SA Oct 2021'!O12="",$C$5*'SA Oct 2021'!N12/100,IF($C$5&gt;='SA Oct 2021'!P12,('SA Oct 2021'!P12*'SA Oct 2021'!N12/100),($C$5*'SA Oct 2021'!N12/100)))</f>
        <v>1305.4545454545453</v>
      </c>
      <c r="E18" s="46">
        <f>IF(AND('SA Oct 2021'!P12&gt;0,'SA Oct 2021'!R12&gt;0),IF($C$5&lt;'SA Oct 2021'!P12,0,IF($C$5&lt;=('SA Oct 2021'!R12+'SA Oct 2021'!P12),(($C$5-'SA Oct 2021'!P12)*'SA Oct 2021'!Q12/100),(('SA Oct 2021'!R12)*'SA Oct 2021'!Q12/100))),0)</f>
        <v>0</v>
      </c>
      <c r="F18" s="46">
        <f>IF(AND('SA Oct 2021'!Q12&gt;0,'SA Oct 2021'!S12&gt;0),IF($C$5&lt;('SA Oct 2021'!R12+'SA Oct 2021'!P12),0,IF($C$5&lt;=('SA Oct 2021'!T12+'SA Oct 2021'!R12+'SA Oct 2021'!P12),(($C$5-('SA Oct 2021'!R12+'SA Oct 2021'!P12))*'SA Oct 2021'!S12/100),('SA Oct 2021'!T12*'SA Oct 2021'!S12/100))),0)</f>
        <v>0</v>
      </c>
      <c r="G18" s="50">
        <v>0</v>
      </c>
      <c r="H18" s="46">
        <f>IF(AND('SA Oct 2021'!R12&gt;0,'SA Oct 2021'!T12&gt;0),IF(($C$5&lt;'SA Oct 2021'!T12),(0),($C$5-'SA Oct 2021'!T12)*'SA Oct 2021'!U12/100),IF(AND('SA Oct 2021'!R12&gt;0,'SA Oct 2021'!T12=""),IF(($C$5&lt;'SA Oct 2021'!R12+'SA Oct 2021'!P12),(0),(($C$5-('SA Oct 2021'!R12+'SA Oct 2021'!P12))*'SA Oct 2021'!S12/100)),IF(AND('SA Oct 2021'!P12&gt;0,'SA Oct 2021'!R12=""&gt;0),IF(($C$5&lt;'SA Oct 2021'!P12),(0),($C$5-'SA Oct 2021'!P12)*'SA Oct 2021'!Q12/100),0)))</f>
        <v>0</v>
      </c>
      <c r="I18" s="52">
        <f t="shared" si="10"/>
        <v>1395.8340909090907</v>
      </c>
      <c r="J18" s="109">
        <f t="shared" si="3"/>
        <v>5221.8181818181811</v>
      </c>
      <c r="K18" s="109">
        <f t="shared" si="0"/>
        <v>5583.3363636363629</v>
      </c>
      <c r="L18" s="53">
        <f t="shared" si="4"/>
        <v>6141.67</v>
      </c>
      <c r="M18" s="54">
        <f>'SA Oct 2021'!BB12</f>
        <v>0</v>
      </c>
      <c r="N18" s="54">
        <f>'SA Oct 2021'!BC12</f>
        <v>0</v>
      </c>
      <c r="O18" s="54">
        <f>'SA Oct 2021'!BD12</f>
        <v>0</v>
      </c>
      <c r="P18" s="54">
        <f>'SA Oct 2021'!BE12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5583.3363636363629</v>
      </c>
      <c r="T18" s="112">
        <f t="shared" si="8"/>
        <v>5583.3363636363629</v>
      </c>
      <c r="U18" s="97">
        <f t="shared" si="6"/>
        <v>6141.67</v>
      </c>
      <c r="V18" s="98">
        <f t="shared" si="6"/>
        <v>6141.67</v>
      </c>
      <c r="W18" s="55">
        <f>'SA Oct 2021'!BL12</f>
        <v>0</v>
      </c>
      <c r="X18" s="56" t="str">
        <f>'SA Oct 2021'!BM12</f>
        <v>n</v>
      </c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2"/>
      <c r="AM18" s="322"/>
      <c r="AN18" s="322"/>
      <c r="AO18" s="322"/>
      <c r="AP18" s="322"/>
      <c r="AQ18" s="322"/>
      <c r="AR18" s="322"/>
    </row>
    <row r="19" spans="1:44" ht="14" x14ac:dyDescent="0.15">
      <c r="A19" s="70" t="str">
        <f>'SA Oct 2021'!K13</f>
        <v>Powershop</v>
      </c>
      <c r="B19" s="49" t="str">
        <f>'SA Oct 2021'!L13</f>
        <v>Carbon Neutral - Rate Lock</v>
      </c>
      <c r="C19" s="46">
        <f>IF('SA Oct 2021'!BP13=0,91*'SA Oct 2021'!M13/100,(91*'SA Oct 2021'!M13/100)+'SA Oct 2021'!BP13/4)</f>
        <v>102.55699999999999</v>
      </c>
      <c r="D19" s="46">
        <f>IF('SA Oct 2021'!O13="",$C$5*'SA Oct 2021'!N13/100,IF($C$5&gt;='SA Oct 2021'!P13,('SA Oct 2021'!P13*'SA Oct 2021'!N13/100),($C$5*'SA Oct 2021'!N13/100)))</f>
        <v>1464.9999999999998</v>
      </c>
      <c r="E19" s="46">
        <f>IF(AND('SA Oct 2021'!P13&gt;0,'SA Oct 2021'!R13&gt;0),IF($C$5&lt;'SA Oct 2021'!P13,0,IF($C$5&lt;=('SA Oct 2021'!R13+'SA Oct 2021'!P13),(($C$5-'SA Oct 2021'!P13)*'SA Oct 2021'!Q13/100),(('SA Oct 2021'!R13)*'SA Oct 2021'!Q13/100))),0)</f>
        <v>0</v>
      </c>
      <c r="F19" s="46">
        <f>IF(AND('SA Oct 2021'!Q13&gt;0,'SA Oct 2021'!S13&gt;0),IF($C$5&lt;('SA Oct 2021'!R13+'SA Oct 2021'!P13),0,IF($C$5&lt;=('SA Oct 2021'!T13+'SA Oct 2021'!R13+'SA Oct 2021'!P13),(($C$5-('SA Oct 2021'!R13+'SA Oct 2021'!P13))*'SA Oct 2021'!S13/100),('SA Oct 2021'!T13*'SA Oct 2021'!S13/100))),0)</f>
        <v>0</v>
      </c>
      <c r="G19" s="50">
        <v>0</v>
      </c>
      <c r="H19" s="46">
        <f>IF(AND('SA Oct 2021'!R13&gt;0,'SA Oct 2021'!T13&gt;0),IF(($C$5&lt;'SA Oct 2021'!T13),(0),($C$5-'SA Oct 2021'!T13)*'SA Oct 2021'!U13/100),IF(AND('SA Oct 2021'!R13&gt;0,'SA Oct 2021'!T13=""),IF(($C$5&lt;'SA Oct 2021'!R13+'SA Oct 2021'!P13),(0),(($C$5-('SA Oct 2021'!R13+'SA Oct 2021'!P13))*'SA Oct 2021'!S13/100)),IF(AND('SA Oct 2021'!P13&gt;0,'SA Oct 2021'!R13=""&gt;0),IF(($C$5&lt;'SA Oct 2021'!P13),(0),($C$5-'SA Oct 2021'!P13)*'SA Oct 2021'!Q13/100),0)))</f>
        <v>0</v>
      </c>
      <c r="I19" s="52">
        <f t="shared" si="10"/>
        <v>1567.5569999999998</v>
      </c>
      <c r="J19" s="109">
        <f t="shared" si="3"/>
        <v>5859.9999999999991</v>
      </c>
      <c r="K19" s="109">
        <f t="shared" si="0"/>
        <v>6270.2279999999992</v>
      </c>
      <c r="L19" s="53">
        <f t="shared" si="4"/>
        <v>6897.2507999999998</v>
      </c>
      <c r="M19" s="54">
        <f>'SA Oct 2021'!BB13</f>
        <v>0</v>
      </c>
      <c r="N19" s="54">
        <f>'SA Oct 2021'!BC13</f>
        <v>0</v>
      </c>
      <c r="O19" s="54">
        <f>'SA Oct 2021'!BD13</f>
        <v>0</v>
      </c>
      <c r="P19" s="54">
        <f>'SA Oct 2021'!BE13</f>
        <v>0</v>
      </c>
      <c r="Q19" s="110" t="str">
        <f t="shared" si="5"/>
        <v>No discount</v>
      </c>
      <c r="R19" s="73" t="str">
        <f t="shared" si="1"/>
        <v>Inclusive</v>
      </c>
      <c r="S19" s="111">
        <f t="shared" si="7"/>
        <v>6270.2279999999992</v>
      </c>
      <c r="T19" s="112">
        <f t="shared" si="8"/>
        <v>6270.2279999999992</v>
      </c>
      <c r="U19" s="97">
        <f t="shared" si="6"/>
        <v>6897.2507999999998</v>
      </c>
      <c r="V19" s="98">
        <f t="shared" si="6"/>
        <v>6897.2507999999998</v>
      </c>
      <c r="W19" s="55">
        <f>'SA Oct 2021'!BL13</f>
        <v>0</v>
      </c>
      <c r="X19" s="56" t="str">
        <f>'SA Oct 2021'!BM13</f>
        <v>n</v>
      </c>
      <c r="Y19" s="325"/>
      <c r="Z19" s="325"/>
      <c r="AA19" s="325"/>
      <c r="AB19" s="325"/>
      <c r="AC19" s="325"/>
      <c r="AD19" s="325"/>
      <c r="AE19" s="325"/>
      <c r="AF19" s="325"/>
      <c r="AG19" s="325"/>
      <c r="AH19" s="325"/>
      <c r="AI19" s="325"/>
      <c r="AJ19" s="325"/>
      <c r="AK19" s="325"/>
      <c r="AL19" s="325"/>
      <c r="AM19" s="325"/>
      <c r="AN19" s="325"/>
      <c r="AO19" s="325"/>
      <c r="AP19" s="325"/>
      <c r="AQ19" s="325"/>
      <c r="AR19" s="325"/>
    </row>
    <row r="20" spans="1:44" ht="14" x14ac:dyDescent="0.15">
      <c r="A20" s="70" t="str">
        <f>'SA Oct 2021'!K14</f>
        <v>Powerclub</v>
      </c>
      <c r="B20" s="49" t="str">
        <f>'SA Oct 2021'!L14</f>
        <v>Bis Flat</v>
      </c>
      <c r="C20" s="46">
        <f>IF('SA Oct 2021'!BP14=0,91*'SA Oct 2021'!M14/100,(91*'SA Oct 2021'!M14/100)+'SA Oct 2021'!BP14/4)</f>
        <v>100.16227272727271</v>
      </c>
      <c r="D20" s="46">
        <f>IF('SA Oct 2021'!O14="",$C$5*'SA Oct 2021'!N14/100,IF($C$5&gt;='SA Oct 2021'!P14,('SA Oct 2021'!P14*'SA Oct 2021'!N14/100),($C$5*'SA Oct 2021'!N14/100)))</f>
        <v>1213.181818181818</v>
      </c>
      <c r="E20" s="46">
        <f>IF(AND('SA Oct 2021'!P14&gt;0,'SA Oct 2021'!R14&gt;0),IF($C$5&lt;'SA Oct 2021'!P14,0,IF($C$5&lt;=('SA Oct 2021'!R14+'SA Oct 2021'!P14),(($C$5-'SA Oct 2021'!P14)*'SA Oct 2021'!Q14/100),(('SA Oct 2021'!R14)*'SA Oct 2021'!Q14/100))),0)</f>
        <v>0</v>
      </c>
      <c r="F20" s="46">
        <f>IF(AND('SA Oct 2021'!Q14&gt;0,'SA Oct 2021'!S14&gt;0),IF($C$5&lt;('SA Oct 2021'!R14+'SA Oct 2021'!P14),0,IF($C$5&lt;=('SA Oct 2021'!T14+'SA Oct 2021'!R14+'SA Oct 2021'!P14),(($C$5-('SA Oct 2021'!R14+'SA Oct 2021'!P14))*'SA Oct 2021'!S14/100),('SA Oct 2021'!T14*'SA Oct 2021'!S14/100))),0)</f>
        <v>0</v>
      </c>
      <c r="G20" s="50">
        <v>0</v>
      </c>
      <c r="H20" s="46">
        <f>IF(AND('SA Oct 2021'!R14&gt;0,'SA Oct 2021'!T14&gt;0),IF(($C$5&lt;'SA Oct 2021'!T14),(0),($C$5-'SA Oct 2021'!T14)*'SA Oct 2021'!U14/100),IF(AND('SA Oct 2021'!R14&gt;0,'SA Oct 2021'!T14=""),IF(($C$5&lt;'SA Oct 2021'!R14+'SA Oct 2021'!P14),(0),(($C$5-('SA Oct 2021'!R14+'SA Oct 2021'!P14))*'SA Oct 2021'!S14/100)),IF(AND('SA Oct 2021'!P14&gt;0,'SA Oct 2021'!R14=""&gt;0),IF(($C$5&lt;'SA Oct 2021'!P14),(0),($C$5-'SA Oct 2021'!P14)*'SA Oct 2021'!Q14/100),0)))</f>
        <v>0</v>
      </c>
      <c r="I20" s="52">
        <f t="shared" si="10"/>
        <v>1313.3440909090907</v>
      </c>
      <c r="J20" s="109">
        <f t="shared" si="3"/>
        <v>4852.7272727272721</v>
      </c>
      <c r="K20" s="109">
        <f t="shared" si="0"/>
        <v>5253.3763636363628</v>
      </c>
      <c r="L20" s="53">
        <f t="shared" si="4"/>
        <v>5778.7139999999999</v>
      </c>
      <c r="M20" s="54">
        <f>'SA Oct 2021'!BB14</f>
        <v>0</v>
      </c>
      <c r="N20" s="54">
        <f>'SA Oct 2021'!BC14</f>
        <v>0</v>
      </c>
      <c r="O20" s="54">
        <f>'SA Oct 2021'!BD14</f>
        <v>0</v>
      </c>
      <c r="P20" s="54">
        <f>'SA Oct 2021'!BE14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5253.3763636363628</v>
      </c>
      <c r="T20" s="112">
        <f t="shared" si="8"/>
        <v>5253.3763636363628</v>
      </c>
      <c r="U20" s="97">
        <f t="shared" si="6"/>
        <v>5778.7139999999999</v>
      </c>
      <c r="V20" s="98">
        <f t="shared" si="6"/>
        <v>5778.7139999999999</v>
      </c>
      <c r="W20" s="55">
        <f>'SA Oct 2021'!BL14</f>
        <v>0</v>
      </c>
      <c r="X20" s="56">
        <f>'SA Oct 2021'!BM14</f>
        <v>0</v>
      </c>
      <c r="Y20" s="325"/>
      <c r="Z20" s="325"/>
      <c r="AA20" s="325"/>
      <c r="AB20" s="325"/>
      <c r="AC20" s="325"/>
      <c r="AD20" s="325"/>
      <c r="AE20" s="325"/>
      <c r="AF20" s="325"/>
      <c r="AG20" s="325"/>
      <c r="AH20" s="325"/>
      <c r="AI20" s="325"/>
      <c r="AJ20" s="325"/>
      <c r="AK20" s="325"/>
      <c r="AL20" s="325"/>
      <c r="AM20" s="325"/>
      <c r="AN20" s="325"/>
      <c r="AO20" s="325"/>
      <c r="AP20" s="325"/>
      <c r="AQ20" s="325"/>
      <c r="AR20" s="325"/>
    </row>
    <row r="21" spans="1:44" ht="14" x14ac:dyDescent="0.15">
      <c r="A21" s="70" t="str">
        <f>'SA Oct 2021'!K15</f>
        <v>Energy Locals</v>
      </c>
      <c r="B21" s="73" t="str">
        <f>'SA Oct 2021'!L15</f>
        <v>Business Member</v>
      </c>
      <c r="C21" s="46">
        <f>IF('SA Oct 2021'!BP15=0,91*'SA Oct 2021'!M15/100,(91*'SA Oct 2021'!M15/100)+'SA Oct 2021'!BP15/4)</f>
        <v>104.59545454545454</v>
      </c>
      <c r="D21" s="46">
        <f>IF('SA Oct 2021'!O15="",$C$5*'SA Oct 2021'!N15/100,IF($C$5&gt;='SA Oct 2021'!P15,('SA Oct 2021'!P15*'SA Oct 2021'!N15/100),($C$5*'SA Oct 2021'!N15/100)))</f>
        <v>1295.4545454545453</v>
      </c>
      <c r="E21" s="46">
        <f>IF(AND('SA Oct 2021'!P15&gt;0,'SA Oct 2021'!R15&gt;0),IF($C$5&lt;'SA Oct 2021'!P15,0,IF($C$5&lt;=('SA Oct 2021'!R15+'SA Oct 2021'!P15),(($C$5-'SA Oct 2021'!P15)*'SA Oct 2021'!Q15/100),(('SA Oct 2021'!R15)*'SA Oct 2021'!Q15/100))),0)</f>
        <v>0</v>
      </c>
      <c r="F21" s="46">
        <f>IF(AND('SA Oct 2021'!Q15&gt;0,'SA Oct 2021'!S15&gt;0),IF($C$5&lt;('SA Oct 2021'!R15+'SA Oct 2021'!P15),0,IF($C$5&lt;=('SA Oct 2021'!T15+'SA Oct 2021'!R15+'SA Oct 2021'!P15),(($C$5-('SA Oct 2021'!R15+'SA Oct 2021'!P15))*'SA Oct 2021'!S15/100),('SA Oct 2021'!T15*'SA Oct 2021'!S15/100))),0)</f>
        <v>0</v>
      </c>
      <c r="G21" s="50">
        <v>0</v>
      </c>
      <c r="H21" s="46">
        <f>IF(AND('SA Oct 2021'!R15&gt;0,'SA Oct 2021'!T15&gt;0),IF(($C$5&lt;'SA Oct 2021'!T15),(0),($C$5-'SA Oct 2021'!T15)*'SA Oct 2021'!U15/100),IF(AND('SA Oct 2021'!R15&gt;0,'SA Oct 2021'!T15=""),IF(($C$5&lt;'SA Oct 2021'!R15+'SA Oct 2021'!P15),(0),(($C$5-('SA Oct 2021'!R15+'SA Oct 2021'!P15))*'SA Oct 2021'!S15/100)),IF(AND('SA Oct 2021'!P15&gt;0,'SA Oct 2021'!R15=""&gt;0),IF(($C$5&lt;'SA Oct 2021'!P15),(0),($C$5-'SA Oct 2021'!P15)*'SA Oct 2021'!Q15/100),0)))</f>
        <v>0</v>
      </c>
      <c r="I21" s="52">
        <f t="shared" si="10"/>
        <v>1400.0499999999997</v>
      </c>
      <c r="J21" s="111">
        <f t="shared" si="3"/>
        <v>5181.8181818181811</v>
      </c>
      <c r="K21" s="112">
        <f t="shared" si="0"/>
        <v>5600.1999999999989</v>
      </c>
      <c r="L21" s="53">
        <f t="shared" si="4"/>
        <v>6160.2199999999993</v>
      </c>
      <c r="M21" s="54">
        <f>'SA Oct 2021'!BB15</f>
        <v>0</v>
      </c>
      <c r="N21" s="54">
        <f>'SA Oct 2021'!BC15</f>
        <v>0</v>
      </c>
      <c r="O21" s="54">
        <f>'SA Oct 2021'!BD15</f>
        <v>0</v>
      </c>
      <c r="P21" s="54">
        <f>'SA Oct 2021'!BE15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5600.1999999999989</v>
      </c>
      <c r="T21" s="112">
        <f t="shared" si="8"/>
        <v>5600.1999999999989</v>
      </c>
      <c r="U21" s="97">
        <f t="shared" si="6"/>
        <v>6160.2199999999993</v>
      </c>
      <c r="V21" s="98">
        <f t="shared" si="6"/>
        <v>6160.2199999999993</v>
      </c>
      <c r="W21" s="55">
        <f>'SA Oct 2021'!BL15</f>
        <v>0</v>
      </c>
      <c r="X21" s="56" t="str">
        <f>'SA Oct 2021'!BM15</f>
        <v>n</v>
      </c>
      <c r="Y21" s="325"/>
      <c r="Z21" s="325"/>
      <c r="AA21" s="325"/>
      <c r="AB21" s="325"/>
      <c r="AC21" s="325"/>
      <c r="AD21" s="325"/>
      <c r="AE21" s="325"/>
      <c r="AF21" s="325"/>
      <c r="AG21" s="325"/>
      <c r="AH21" s="325"/>
      <c r="AI21" s="325"/>
      <c r="AJ21" s="325"/>
      <c r="AK21" s="325"/>
      <c r="AL21" s="325"/>
      <c r="AM21" s="325"/>
      <c r="AN21" s="325"/>
      <c r="AO21" s="325"/>
      <c r="AP21" s="325"/>
      <c r="AQ21" s="325"/>
      <c r="AR21" s="325"/>
    </row>
    <row r="22" spans="1:44" ht="14" x14ac:dyDescent="0.15">
      <c r="A22" s="70" t="str">
        <f>'SA Oct 2021'!K16</f>
        <v>Future X Power</v>
      </c>
      <c r="B22" s="73" t="str">
        <f>'SA Oct 2021'!L16</f>
        <v>Business Smart</v>
      </c>
      <c r="C22" s="46">
        <f>IF('SA Oct 2021'!BP16=0,91*'SA Oct 2021'!M16/100,(91*'SA Oct 2021'!M16/100)+'SA Oct 2021'!BP16/4)</f>
        <v>70.979999999999976</v>
      </c>
      <c r="D22" s="46">
        <f>IF('SA Oct 2021'!O16="",$C$5*'SA Oct 2021'!N16/100,IF($C$5&gt;='SA Oct 2021'!P16,('SA Oct 2021'!P16*'SA Oct 2021'!N16/100),($C$5*'SA Oct 2021'!N16/100)))</f>
        <v>1382.6446280991734</v>
      </c>
      <c r="E22" s="46">
        <f>IF(AND('SA Oct 2021'!P16&gt;0,'SA Oct 2021'!R16&gt;0),IF($C$5&lt;'SA Oct 2021'!P16,0,IF($C$5&lt;=('SA Oct 2021'!R16+'SA Oct 2021'!P16),(($C$5-'SA Oct 2021'!P16)*'SA Oct 2021'!Q16/100),(('SA Oct 2021'!R16)*'SA Oct 2021'!Q16/100))),0)</f>
        <v>0</v>
      </c>
      <c r="F22" s="46">
        <f>IF(AND('SA Oct 2021'!Q16&gt;0,'SA Oct 2021'!S16&gt;0),IF($C$5&lt;('SA Oct 2021'!R16+'SA Oct 2021'!P16),0,IF($C$5&lt;=('SA Oct 2021'!T16+'SA Oct 2021'!R16+'SA Oct 2021'!P16),(($C$5-('SA Oct 2021'!R16+'SA Oct 2021'!P16))*'SA Oct 2021'!S16/100),('SA Oct 2021'!T16*'SA Oct 2021'!S16/100))),0)</f>
        <v>0</v>
      </c>
      <c r="G22" s="50">
        <v>0</v>
      </c>
      <c r="H22" s="46">
        <f>IF(AND('SA Oct 2021'!R16&gt;0,'SA Oct 2021'!T16&gt;0),IF(($C$5&lt;'SA Oct 2021'!T16),(0),($C$5-'SA Oct 2021'!T16)*'SA Oct 2021'!U16/100),IF(AND('SA Oct 2021'!R16&gt;0,'SA Oct 2021'!T16=""),IF(($C$5&lt;'SA Oct 2021'!R16+'SA Oct 2021'!P16),(0),(($C$5-('SA Oct 2021'!R16+'SA Oct 2021'!P16))*'SA Oct 2021'!S16/100)),IF(AND('SA Oct 2021'!P16&gt;0,'SA Oct 2021'!R16=""&gt;0),IF(($C$5&lt;'SA Oct 2021'!P16),(0),($C$5-'SA Oct 2021'!P16)*'SA Oct 2021'!Q16/100),0)))</f>
        <v>0</v>
      </c>
      <c r="I22" s="52">
        <f t="shared" si="10"/>
        <v>1453.6246280991734</v>
      </c>
      <c r="J22" s="111">
        <f t="shared" si="3"/>
        <v>5530.5785123966934</v>
      </c>
      <c r="K22" s="112">
        <f t="shared" si="0"/>
        <v>5814.4985123966935</v>
      </c>
      <c r="L22" s="53">
        <f t="shared" si="4"/>
        <v>6395.948363636363</v>
      </c>
      <c r="M22" s="54">
        <f>'SA Oct 2021'!BB16</f>
        <v>0</v>
      </c>
      <c r="N22" s="54">
        <f>'SA Oct 2021'!BC16</f>
        <v>0</v>
      </c>
      <c r="O22" s="54">
        <f>'SA Oct 2021'!BD16</f>
        <v>0</v>
      </c>
      <c r="P22" s="54">
        <f>'SA Oct 2021'!BE16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5814.4985123966935</v>
      </c>
      <c r="T22" s="112">
        <f t="shared" si="8"/>
        <v>5814.4985123966935</v>
      </c>
      <c r="U22" s="97">
        <f t="shared" si="6"/>
        <v>6395.948363636363</v>
      </c>
      <c r="V22" s="98">
        <f t="shared" si="6"/>
        <v>6395.948363636363</v>
      </c>
      <c r="W22" s="55">
        <f>'SA Oct 2021'!BL16</f>
        <v>0</v>
      </c>
      <c r="X22" s="56" t="str">
        <f>'SA Oct 2021'!BM16</f>
        <v>n</v>
      </c>
      <c r="Y22" s="325"/>
      <c r="Z22" s="325"/>
      <c r="AA22" s="325"/>
      <c r="AB22" s="325"/>
      <c r="AC22" s="325"/>
      <c r="AD22" s="325"/>
      <c r="AE22" s="325"/>
      <c r="AF22" s="325"/>
      <c r="AG22" s="325"/>
      <c r="AH22" s="325"/>
      <c r="AI22" s="325"/>
      <c r="AJ22" s="325"/>
      <c r="AK22" s="325"/>
      <c r="AL22" s="325"/>
      <c r="AM22" s="325"/>
      <c r="AN22" s="325"/>
      <c r="AO22" s="325"/>
      <c r="AP22" s="325"/>
      <c r="AQ22" s="325"/>
      <c r="AR22" s="325"/>
    </row>
    <row r="23" spans="1:44" ht="14" x14ac:dyDescent="0.15">
      <c r="A23" s="70" t="str">
        <f>'SA Oct 2021'!K17</f>
        <v>Discover Energy</v>
      </c>
      <c r="B23" s="73" t="str">
        <f>'SA Oct 2021'!L17</f>
        <v>Business Smart Saver</v>
      </c>
      <c r="C23" s="46">
        <f>IF('SA Oct 2021'!BP17=0,91*'SA Oct 2021'!M17/100,(91*'SA Oct 2021'!M17/100)+'SA Oct 2021'!BP17/4)</f>
        <v>64.609999999999985</v>
      </c>
      <c r="D23" s="46">
        <f>IF('SA Oct 2021'!O17="",$C$5*'SA Oct 2021'!N17/100,IF($C$5&gt;='SA Oct 2021'!P17,('SA Oct 2021'!P17*'SA Oct 2021'!N17/100),($C$5*'SA Oct 2021'!N17/100)))</f>
        <v>1759.9999999999998</v>
      </c>
      <c r="E23" s="46">
        <f>IF(AND('SA Oct 2021'!P17&gt;0,'SA Oct 2021'!R17&gt;0),IF($C$5&lt;'SA Oct 2021'!P17,0,IF($C$5&lt;=('SA Oct 2021'!R17+'SA Oct 2021'!P17),(($C$5-'SA Oct 2021'!P17)*'SA Oct 2021'!Q17/100),(('SA Oct 2021'!R17)*'SA Oct 2021'!Q17/100))),0)</f>
        <v>0</v>
      </c>
      <c r="F23" s="46">
        <f>IF(AND('SA Oct 2021'!Q17&gt;0,'SA Oct 2021'!S17&gt;0),IF($C$5&lt;('SA Oct 2021'!R17+'SA Oct 2021'!P17),0,IF($C$5&lt;=('SA Oct 2021'!T17+'SA Oct 2021'!R17+'SA Oct 2021'!P17),(($C$5-('SA Oct 2021'!R17+'SA Oct 2021'!P17))*'SA Oct 2021'!S17/100),('SA Oct 2021'!T17*'SA Oct 2021'!S17/100))),0)</f>
        <v>0</v>
      </c>
      <c r="G23" s="50">
        <v>0</v>
      </c>
      <c r="H23" s="46">
        <f>IF(AND('SA Oct 2021'!R17&gt;0,'SA Oct 2021'!T17&gt;0),IF(($C$5&lt;'SA Oct 2021'!T17),(0),($C$5-'SA Oct 2021'!T17)*'SA Oct 2021'!U17/100),IF(AND('SA Oct 2021'!R17&gt;0,'SA Oct 2021'!T17=""),IF(($C$5&lt;'SA Oct 2021'!R17+'SA Oct 2021'!P17),(0),(($C$5-('SA Oct 2021'!R17+'SA Oct 2021'!P17))*'SA Oct 2021'!S17/100)),IF(AND('SA Oct 2021'!P17&gt;0,'SA Oct 2021'!R17=""&gt;0),IF(($C$5&lt;'SA Oct 2021'!P17),(0),($C$5-'SA Oct 2021'!P17)*'SA Oct 2021'!Q17/100),0)))</f>
        <v>0</v>
      </c>
      <c r="I23" s="52">
        <f t="shared" ref="I23" si="11">SUM(C23:H23)</f>
        <v>1824.6099999999997</v>
      </c>
      <c r="J23" s="111">
        <f t="shared" si="3"/>
        <v>7039.9999999999991</v>
      </c>
      <c r="K23" s="112">
        <f t="shared" si="0"/>
        <v>7298.4399999999987</v>
      </c>
      <c r="L23" s="53">
        <f t="shared" si="4"/>
        <v>8028.2839999999997</v>
      </c>
      <c r="M23" s="54">
        <f>'SA Oct 2021'!BB17</f>
        <v>0</v>
      </c>
      <c r="N23" s="54">
        <f>'SA Oct 2021'!BC17</f>
        <v>15</v>
      </c>
      <c r="O23" s="54">
        <f>'SA Oct 2021'!BD17</f>
        <v>0</v>
      </c>
      <c r="P23" s="54">
        <f>'SA Oct 2021'!BE17</f>
        <v>0</v>
      </c>
      <c r="Q23" s="110" t="str">
        <f t="shared" si="5"/>
        <v>Guaranteed off usage</v>
      </c>
      <c r="R23" s="73" t="str">
        <f t="shared" si="1"/>
        <v>Exclusive</v>
      </c>
      <c r="S23" s="111">
        <f t="shared" si="7"/>
        <v>6242.4399999999987</v>
      </c>
      <c r="T23" s="112">
        <f t="shared" si="8"/>
        <v>6242.4399999999987</v>
      </c>
      <c r="U23" s="97">
        <f t="shared" si="6"/>
        <v>6866.6839999999993</v>
      </c>
      <c r="V23" s="98">
        <f t="shared" si="6"/>
        <v>6866.6839999999993</v>
      </c>
      <c r="W23" s="55">
        <f>'SA Oct 2021'!BL17</f>
        <v>0</v>
      </c>
      <c r="X23" s="56" t="str">
        <f>'SA Oct 2021'!BM17</f>
        <v>n</v>
      </c>
      <c r="Y23" s="325"/>
      <c r="Z23" s="325"/>
      <c r="AA23" s="325"/>
      <c r="AB23" s="325"/>
      <c r="AC23" s="325"/>
      <c r="AD23" s="325"/>
      <c r="AE23" s="325"/>
      <c r="AF23" s="325"/>
      <c r="AG23" s="325"/>
      <c r="AH23" s="325"/>
      <c r="AI23" s="325"/>
      <c r="AJ23" s="325"/>
      <c r="AK23" s="325"/>
      <c r="AL23" s="325"/>
      <c r="AM23" s="325"/>
      <c r="AN23" s="325"/>
      <c r="AO23" s="325"/>
      <c r="AP23" s="325"/>
      <c r="AQ23" s="325"/>
      <c r="AR23" s="325"/>
    </row>
    <row r="24" spans="1:44" ht="14" x14ac:dyDescent="0.15">
      <c r="A24" s="70" t="str">
        <f>'SA Oct 2021'!K18</f>
        <v>ReAmped Energy</v>
      </c>
      <c r="B24" s="73" t="str">
        <f>'SA Oct 2021'!L18</f>
        <v>ReAmped Business</v>
      </c>
      <c r="C24" s="46">
        <f>IF('SA Oct 2021'!BP18=0,91*'SA Oct 2021'!M18/100,(91*'SA Oct 2021'!M18/100)+'SA Oct 2021'!BP18/4)</f>
        <v>66.521000000000001</v>
      </c>
      <c r="D24" s="46">
        <f>IF('SA Oct 2021'!O18="",$C$5*'SA Oct 2021'!N18/100,IF($C$5&gt;='SA Oct 2021'!P18,('SA Oct 2021'!P18*'SA Oct 2021'!N18/100),($C$5*'SA Oct 2021'!N18/100)))</f>
        <v>1377.7272727272727</v>
      </c>
      <c r="E24" s="46">
        <f>IF(AND('SA Oct 2021'!P18&gt;0,'SA Oct 2021'!R18&gt;0),IF($C$5&lt;'SA Oct 2021'!P18,0,IF($C$5&lt;=('SA Oct 2021'!R18+'SA Oct 2021'!P18),(($C$5-'SA Oct 2021'!P18)*'SA Oct 2021'!Q18/100),(('SA Oct 2021'!R18)*'SA Oct 2021'!Q18/100))),0)</f>
        <v>0</v>
      </c>
      <c r="F24" s="46">
        <f>IF(AND('SA Oct 2021'!Q18&gt;0,'SA Oct 2021'!S18&gt;0),IF($C$5&lt;('SA Oct 2021'!R18+'SA Oct 2021'!P18),0,IF($C$5&lt;=('SA Oct 2021'!T18+'SA Oct 2021'!R18+'SA Oct 2021'!P18),(($C$5-('SA Oct 2021'!R18+'SA Oct 2021'!P18))*'SA Oct 2021'!S18/100),('SA Oct 2021'!T18*'SA Oct 2021'!S18/100))),0)</f>
        <v>0</v>
      </c>
      <c r="G24" s="50">
        <v>0</v>
      </c>
      <c r="H24" s="46">
        <f>IF(AND('SA Oct 2021'!R18&gt;0,'SA Oct 2021'!T18&gt;0),IF(($C$5&lt;'SA Oct 2021'!T18),(0),($C$5-'SA Oct 2021'!T18)*'SA Oct 2021'!U18/100),IF(AND('SA Oct 2021'!R18&gt;0,'SA Oct 2021'!T18=""),IF(($C$5&lt;'SA Oct 2021'!R18+'SA Oct 2021'!P18),(0),(($C$5-('SA Oct 2021'!R18+'SA Oct 2021'!P18))*'SA Oct 2021'!S18/100)),IF(AND('SA Oct 2021'!P18&gt;0,'SA Oct 2021'!R18=""&gt;0),IF(($C$5&lt;'SA Oct 2021'!P18),(0),($C$5-'SA Oct 2021'!P18)*'SA Oct 2021'!Q18/100),0)))</f>
        <v>0</v>
      </c>
      <c r="I24" s="52">
        <f t="shared" ref="I24" si="12">SUM(C24:H24)</f>
        <v>1444.2482727272727</v>
      </c>
      <c r="J24" s="111">
        <f t="shared" si="3"/>
        <v>5510.909090909091</v>
      </c>
      <c r="K24" s="112">
        <f t="shared" si="0"/>
        <v>5776.9930909090908</v>
      </c>
      <c r="L24" s="53">
        <f t="shared" si="4"/>
        <v>6354.6924000000008</v>
      </c>
      <c r="M24" s="54">
        <f>'SA Oct 2021'!BB18</f>
        <v>0</v>
      </c>
      <c r="N24" s="54">
        <f>'SA Oct 2021'!BC18</f>
        <v>0</v>
      </c>
      <c r="O24" s="54">
        <f>'SA Oct 2021'!BD18</f>
        <v>0</v>
      </c>
      <c r="P24" s="54">
        <f>'SA Oct 2021'!BE18</f>
        <v>0</v>
      </c>
      <c r="Q24" s="110" t="str">
        <f t="shared" si="5"/>
        <v>No discount</v>
      </c>
      <c r="R24" s="73" t="str">
        <f t="shared" si="1"/>
        <v>Exclusive</v>
      </c>
      <c r="S24" s="111">
        <f t="shared" si="7"/>
        <v>5776.9930909090908</v>
      </c>
      <c r="T24" s="112">
        <f t="shared" si="8"/>
        <v>5776.9930909090908</v>
      </c>
      <c r="U24" s="97">
        <f t="shared" ref="U24:V26" si="13">S24*1.1</f>
        <v>6354.6924000000008</v>
      </c>
      <c r="V24" s="98">
        <f t="shared" si="13"/>
        <v>6354.6924000000008</v>
      </c>
      <c r="W24" s="55">
        <f>'SA Oct 2021'!BL18</f>
        <v>0</v>
      </c>
      <c r="X24" s="56" t="str">
        <f>'SA Oct 2021'!BM18</f>
        <v>n</v>
      </c>
      <c r="Y24" s="325"/>
      <c r="Z24" s="325"/>
      <c r="AA24" s="325"/>
      <c r="AB24" s="325"/>
      <c r="AC24" s="325"/>
      <c r="AD24" s="325"/>
      <c r="AE24" s="325"/>
      <c r="AF24" s="325"/>
      <c r="AG24" s="325"/>
      <c r="AH24" s="325"/>
      <c r="AI24" s="325"/>
      <c r="AJ24" s="325"/>
      <c r="AK24" s="325"/>
      <c r="AL24" s="325"/>
      <c r="AM24" s="325"/>
      <c r="AN24" s="325"/>
      <c r="AO24" s="325"/>
      <c r="AP24" s="325"/>
      <c r="AQ24" s="325"/>
      <c r="AR24" s="325"/>
    </row>
    <row r="25" spans="1:44" ht="14" x14ac:dyDescent="0.15">
      <c r="A25" s="70" t="str">
        <f>'SA Oct 2021'!K19</f>
        <v>Covau</v>
      </c>
      <c r="B25" s="73" t="str">
        <f>'SA Oct 2021'!L19</f>
        <v xml:space="preserve">Freedom </v>
      </c>
      <c r="C25" s="46">
        <f>IF('SA Oct 2021'!BP19=0,91*'SA Oct 2021'!M19/100,(91*'SA Oct 2021'!M19/100)+'SA Oct 2021'!BP19/4)</f>
        <v>68.25</v>
      </c>
      <c r="D25" s="46">
        <f>IF('SA Oct 2021'!O19="",$C$5*'SA Oct 2021'!N19/100,IF($C$5&gt;='SA Oct 2021'!P19,('SA Oct 2021'!P19*'SA Oct 2021'!N19/100),($C$5*'SA Oct 2021'!N19/100)))</f>
        <v>1544.0909090909088</v>
      </c>
      <c r="E25" s="46">
        <f>IF(AND('SA Oct 2021'!P19&gt;0,'SA Oct 2021'!R19&gt;0),IF($C$5&lt;'SA Oct 2021'!P19,0,IF($C$5&lt;=('SA Oct 2021'!R19+'SA Oct 2021'!P19),(($C$5-'SA Oct 2021'!P19)*'SA Oct 2021'!Q19/100),(('SA Oct 2021'!R19)*'SA Oct 2021'!Q19/100))),0)</f>
        <v>0</v>
      </c>
      <c r="F25" s="46">
        <f>IF(AND('SA Oct 2021'!Q19&gt;0,'SA Oct 2021'!S19&gt;0),IF($C$5&lt;('SA Oct 2021'!R19+'SA Oct 2021'!P19),0,IF($C$5&lt;=('SA Oct 2021'!T19+'SA Oct 2021'!R19+'SA Oct 2021'!P19),(($C$5-('SA Oct 2021'!R19+'SA Oct 2021'!P19))*'SA Oct 2021'!S19/100),('SA Oct 2021'!T19*'SA Oct 2021'!S19/100))),0)</f>
        <v>0</v>
      </c>
      <c r="G25" s="50">
        <v>0</v>
      </c>
      <c r="H25" s="46">
        <f>IF(AND('SA Oct 2021'!R19&gt;0,'SA Oct 2021'!T19&gt;0),IF(($C$5&lt;'SA Oct 2021'!T19),(0),($C$5-'SA Oct 2021'!T19)*'SA Oct 2021'!U19/100),IF(AND('SA Oct 2021'!R19&gt;0,'SA Oct 2021'!T19=""),IF(($C$5&lt;'SA Oct 2021'!R19+'SA Oct 2021'!P19),(0),(($C$5-('SA Oct 2021'!R19+'SA Oct 2021'!P19))*'SA Oct 2021'!S19/100)),IF(AND('SA Oct 2021'!P19&gt;0,'SA Oct 2021'!R19=""&gt;0),IF(($C$5&lt;'SA Oct 2021'!P19),(0),($C$5-'SA Oct 2021'!P19)*'SA Oct 2021'!Q19/100),0)))</f>
        <v>0</v>
      </c>
      <c r="I25" s="52">
        <f t="shared" ref="I25:I26" si="14">SUM(C25:H25)</f>
        <v>1612.3409090909088</v>
      </c>
      <c r="J25" s="111">
        <f t="shared" si="3"/>
        <v>6176.3636363636351</v>
      </c>
      <c r="K25" s="112">
        <f t="shared" si="0"/>
        <v>6449.3636363636351</v>
      </c>
      <c r="L25" s="53">
        <f t="shared" si="4"/>
        <v>7094.2999999999993</v>
      </c>
      <c r="M25" s="54">
        <f>'SA Oct 2021'!BB19</f>
        <v>0</v>
      </c>
      <c r="N25" s="54">
        <f>'SA Oct 2021'!BC19</f>
        <v>5</v>
      </c>
      <c r="O25" s="54">
        <f>'SA Oct 2021'!BD19</f>
        <v>0</v>
      </c>
      <c r="P25" s="54">
        <f>'SA Oct 2021'!BE19</f>
        <v>0</v>
      </c>
      <c r="Q25" s="110" t="str">
        <f t="shared" si="5"/>
        <v>Guaranteed off usage</v>
      </c>
      <c r="R25" s="73" t="str">
        <f t="shared" si="1"/>
        <v>Exclusive</v>
      </c>
      <c r="S25" s="111">
        <f t="shared" si="7"/>
        <v>6140.5454545454531</v>
      </c>
      <c r="T25" s="112">
        <f t="shared" si="8"/>
        <v>6140.5454545454531</v>
      </c>
      <c r="U25" s="97">
        <f t="shared" si="13"/>
        <v>6754.5999999999985</v>
      </c>
      <c r="V25" s="98">
        <f t="shared" si="13"/>
        <v>6754.5999999999985</v>
      </c>
      <c r="W25" s="55">
        <f>'SA Oct 2021'!BL19</f>
        <v>0</v>
      </c>
      <c r="X25" s="56" t="str">
        <f>'SA Oct 2021'!BM19</f>
        <v>n</v>
      </c>
      <c r="Y25" s="325"/>
      <c r="Z25" s="325"/>
      <c r="AA25" s="325"/>
      <c r="AB25" s="325"/>
      <c r="AC25" s="325"/>
      <c r="AD25" s="325"/>
      <c r="AE25" s="325"/>
      <c r="AF25" s="325"/>
      <c r="AG25" s="325"/>
      <c r="AH25" s="325"/>
      <c r="AI25" s="325"/>
      <c r="AJ25" s="325"/>
      <c r="AK25" s="325"/>
      <c r="AL25" s="325"/>
      <c r="AM25" s="325"/>
      <c r="AN25" s="325"/>
      <c r="AO25" s="325"/>
      <c r="AP25" s="325"/>
      <c r="AQ25" s="325"/>
      <c r="AR25" s="325"/>
    </row>
    <row r="26" spans="1:44" ht="14" x14ac:dyDescent="0.15">
      <c r="A26" s="70" t="str">
        <f>'SA Oct 2021'!K20</f>
        <v>1st Energy</v>
      </c>
      <c r="B26" s="73" t="str">
        <f>'SA Oct 2021'!L20</f>
        <v>1st Saver Plus</v>
      </c>
      <c r="C26" s="46">
        <f>IF('SA Oct 2021'!BP20=0,91*'SA Oct 2021'!M20/100,(91*'SA Oct 2021'!M20/100)+'SA Oct 2021'!BP20/4)</f>
        <v>80.038636363636357</v>
      </c>
      <c r="D26" s="46">
        <f>IF('SA Oct 2021'!O20="",$C$5*'SA Oct 2021'!N20/100,IF($C$5&gt;='SA Oct 2021'!P20,('SA Oct 2021'!P20*'SA Oct 2021'!N20/100),($C$5*'SA Oct 2021'!N20/100)))</f>
        <v>1744.0909090909088</v>
      </c>
      <c r="E26" s="46">
        <f>IF(AND('SA Oct 2021'!P20&gt;0,'SA Oct 2021'!R20&gt;0),IF($C$5&lt;'SA Oct 2021'!P20,0,IF($C$5&lt;=('SA Oct 2021'!R20+'SA Oct 2021'!P20),(($C$5-'SA Oct 2021'!P20)*'SA Oct 2021'!Q20/100),(('SA Oct 2021'!R20)*'SA Oct 2021'!Q20/100))),0)</f>
        <v>0</v>
      </c>
      <c r="F26" s="46">
        <f>IF(AND('SA Oct 2021'!Q20&gt;0,'SA Oct 2021'!S20&gt;0),IF($C$5&lt;('SA Oct 2021'!R20+'SA Oct 2021'!P20),0,IF($C$5&lt;=('SA Oct 2021'!T20+'SA Oct 2021'!R20+'SA Oct 2021'!P20),(($C$5-('SA Oct 2021'!R20+'SA Oct 2021'!P20))*'SA Oct 2021'!S20/100),('SA Oct 2021'!T20*'SA Oct 2021'!S20/100))),0)</f>
        <v>0</v>
      </c>
      <c r="G26" s="50">
        <v>0</v>
      </c>
      <c r="H26" s="46">
        <f>IF(AND('SA Oct 2021'!R20&gt;0,'SA Oct 2021'!T20&gt;0),IF(($C$5&lt;'SA Oct 2021'!T20),(0),($C$5-'SA Oct 2021'!T20)*'SA Oct 2021'!U20/100),IF(AND('SA Oct 2021'!R20&gt;0,'SA Oct 2021'!T20=""),IF(($C$5&lt;'SA Oct 2021'!R20+'SA Oct 2021'!P20),(0),(($C$5-('SA Oct 2021'!R20+'SA Oct 2021'!P20))*'SA Oct 2021'!S20/100)),IF(AND('SA Oct 2021'!P20&gt;0,'SA Oct 2021'!R20=""&gt;0),IF(($C$5&lt;'SA Oct 2021'!P20),(0),($C$5-'SA Oct 2021'!P20)*'SA Oct 2021'!Q20/100),0)))</f>
        <v>0</v>
      </c>
      <c r="I26" s="52">
        <f t="shared" si="14"/>
        <v>1824.1295454545452</v>
      </c>
      <c r="J26" s="111">
        <f t="shared" si="3"/>
        <v>6976.3636363636351</v>
      </c>
      <c r="K26" s="112">
        <f t="shared" si="0"/>
        <v>7296.5181818181809</v>
      </c>
      <c r="L26" s="53">
        <f t="shared" si="4"/>
        <v>8026.17</v>
      </c>
      <c r="M26" s="54">
        <f>'SA Oct 2021'!BB20</f>
        <v>4</v>
      </c>
      <c r="N26" s="54">
        <f>'SA Oct 2021'!BC20</f>
        <v>0</v>
      </c>
      <c r="O26" s="54">
        <f>'SA Oct 2021'!BD20</f>
        <v>10</v>
      </c>
      <c r="P26" s="54">
        <f>'SA Oct 2021'!BE20</f>
        <v>0</v>
      </c>
      <c r="Q26" s="110" t="str">
        <f t="shared" si="5"/>
        <v>Guaranteed off bill</v>
      </c>
      <c r="R26" s="73" t="str">
        <f t="shared" si="1"/>
        <v>Exclusive</v>
      </c>
      <c r="S26" s="111">
        <f t="shared" si="7"/>
        <v>7004.6574545454532</v>
      </c>
      <c r="T26" s="112">
        <f>S26-(S26*O26/100)</f>
        <v>6304.1917090909083</v>
      </c>
      <c r="U26" s="97">
        <f t="shared" si="13"/>
        <v>7705.1231999999991</v>
      </c>
      <c r="V26" s="98">
        <f t="shared" si="13"/>
        <v>6934.6108799999993</v>
      </c>
      <c r="W26" s="55">
        <f>'SA Oct 2021'!BL20</f>
        <v>0</v>
      </c>
      <c r="X26" s="56" t="str">
        <f>'SA Oct 2021'!BM20</f>
        <v>n</v>
      </c>
      <c r="Y26" s="325"/>
      <c r="Z26" s="325"/>
      <c r="AA26" s="325"/>
      <c r="AB26" s="325"/>
      <c r="AC26" s="325"/>
      <c r="AD26" s="325"/>
      <c r="AE26" s="325"/>
      <c r="AF26" s="325"/>
      <c r="AG26" s="325"/>
      <c r="AH26" s="325"/>
      <c r="AI26" s="325"/>
      <c r="AJ26" s="325"/>
      <c r="AK26" s="325"/>
      <c r="AL26" s="325"/>
      <c r="AM26" s="325"/>
      <c r="AN26" s="325"/>
      <c r="AO26" s="325"/>
      <c r="AP26" s="325"/>
      <c r="AQ26" s="325"/>
      <c r="AR26" s="325"/>
    </row>
    <row r="27" spans="1:44" ht="14" x14ac:dyDescent="0.15">
      <c r="A27" s="70" t="str">
        <f>'SA Oct 2021'!K21</f>
        <v>Glow Power</v>
      </c>
      <c r="B27" s="73" t="str">
        <f>'SA Oct 2021'!L21</f>
        <v>Everyday Saver</v>
      </c>
      <c r="C27" s="46">
        <f>IF('SA Oct 2021'!BP21=0,91*'SA Oct 2021'!M21/100,(91*'SA Oct 2021'!M21/100)+'SA Oct 2021'!BP21/4)</f>
        <v>81.899999999999991</v>
      </c>
      <c r="D27" s="46">
        <f>IF('SA Oct 2021'!O21="",$C$5*'SA Oct 2021'!N21/100,IF($C$5&gt;='SA Oct 2021'!P21,('SA Oct 2021'!P21*'SA Oct 2021'!N21/100),($C$5*'SA Oct 2021'!N21/100)))</f>
        <v>1318.181818181818</v>
      </c>
      <c r="E27" s="46">
        <f>IF(AND('SA Oct 2021'!P21&gt;0,'SA Oct 2021'!R21&gt;0),IF($C$5&lt;'SA Oct 2021'!P21,0,IF($C$5&lt;=('SA Oct 2021'!R21+'SA Oct 2021'!P21),(($C$5-'SA Oct 2021'!P21)*'SA Oct 2021'!Q21/100),(('SA Oct 2021'!R21)*'SA Oct 2021'!Q21/100))),0)</f>
        <v>0</v>
      </c>
      <c r="F27" s="46">
        <f>IF(AND('SA Oct 2021'!Q21&gt;0,'SA Oct 2021'!S21&gt;0),IF($C$5&lt;('SA Oct 2021'!R21+'SA Oct 2021'!P21),0,IF($C$5&lt;=('SA Oct 2021'!T21+'SA Oct 2021'!R21+'SA Oct 2021'!P21),(($C$5-('SA Oct 2021'!R21+'SA Oct 2021'!P21))*'SA Oct 2021'!S21/100),('SA Oct 2021'!T21*'SA Oct 2021'!S21/100))),0)</f>
        <v>0</v>
      </c>
      <c r="G27" s="50">
        <v>0</v>
      </c>
      <c r="H27" s="46">
        <f>IF(AND('SA Oct 2021'!R21&gt;0,'SA Oct 2021'!T21&gt;0),IF(($C$5&lt;'SA Oct 2021'!T21),(0),($C$5-'SA Oct 2021'!T21)*'SA Oct 2021'!U21/100),IF(AND('SA Oct 2021'!R21&gt;0,'SA Oct 2021'!T21=""),IF(($C$5&lt;'SA Oct 2021'!R21+'SA Oct 2021'!P21),(0),(($C$5-('SA Oct 2021'!R21+'SA Oct 2021'!P21))*'SA Oct 2021'!S21/100)),IF(AND('SA Oct 2021'!P21&gt;0,'SA Oct 2021'!R21=""&gt;0),IF(($C$5&lt;'SA Oct 2021'!P21),(0),($C$5-'SA Oct 2021'!P21)*'SA Oct 2021'!Q21/100),0)))</f>
        <v>0</v>
      </c>
      <c r="I27" s="52">
        <f t="shared" ref="I27:I28" si="15">SUM(C27:H27)</f>
        <v>1400.0818181818181</v>
      </c>
      <c r="J27" s="111">
        <f t="shared" ref="J27:J28" si="16">(I27-C27)*4</f>
        <v>5272.7272727272721</v>
      </c>
      <c r="K27" s="112">
        <f t="shared" ref="K27:K28" si="17">I27*4</f>
        <v>5600.3272727272724</v>
      </c>
      <c r="L27" s="53">
        <f t="shared" ref="L27:L28" si="18">K27*1.1</f>
        <v>6160.3600000000006</v>
      </c>
      <c r="M27" s="54">
        <f>'SA Oct 2021'!BB21</f>
        <v>0</v>
      </c>
      <c r="N27" s="54">
        <f>'SA Oct 2021'!BC21</f>
        <v>0</v>
      </c>
      <c r="O27" s="54">
        <f>'SA Oct 2021'!BD21</f>
        <v>0</v>
      </c>
      <c r="P27" s="54">
        <f>'SA Oct 2021'!BE21</f>
        <v>0</v>
      </c>
      <c r="Q27" s="110" t="str">
        <f t="shared" ref="Q27:Q28" si="19">IF(SUM(M27:P27)=0,"No discount",IF(M27&gt;0,"Guaranteed off bill",IF(N27&gt;0,"Guaranteed off usage",IF(O27&gt;0,"Pay-on-time off bill","Pay-on-time off usage"))))</f>
        <v>No discount</v>
      </c>
      <c r="R27" s="73" t="str">
        <f t="shared" ref="R27:R28" si="20">IF(OR(A27="Origin Energy",A27="Red Energy",A27="Powershop"),"Inclusive","Exclusive")</f>
        <v>Exclusive</v>
      </c>
      <c r="S27" s="111">
        <f t="shared" ref="S27:S28" si="21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5600.3272727272724</v>
      </c>
      <c r="T27" s="112">
        <f t="shared" ref="T27:T28" si="22">S27-(S27*O27/100)</f>
        <v>5600.3272727272724</v>
      </c>
      <c r="U27" s="97">
        <f t="shared" ref="U27:U28" si="23">S27*1.1</f>
        <v>6160.3600000000006</v>
      </c>
      <c r="V27" s="98">
        <f t="shared" ref="V27:V28" si="24">T27*1.1</f>
        <v>6160.3600000000006</v>
      </c>
      <c r="W27" s="55">
        <f>'SA Oct 2021'!BL21</f>
        <v>0</v>
      </c>
      <c r="X27" s="56" t="str">
        <f>'SA Oct 2021'!BM21</f>
        <v>n</v>
      </c>
      <c r="Y27" s="325"/>
      <c r="Z27" s="325"/>
      <c r="AA27" s="325"/>
      <c r="AB27" s="325"/>
      <c r="AC27" s="325"/>
      <c r="AD27" s="325"/>
      <c r="AE27" s="325"/>
      <c r="AF27" s="325"/>
      <c r="AG27" s="325"/>
      <c r="AH27" s="325"/>
      <c r="AI27" s="325"/>
      <c r="AJ27" s="325"/>
      <c r="AK27" s="325"/>
      <c r="AL27" s="325"/>
      <c r="AM27" s="325"/>
      <c r="AN27" s="325"/>
      <c r="AO27" s="325"/>
      <c r="AP27" s="325"/>
      <c r="AQ27" s="325"/>
      <c r="AR27" s="325"/>
    </row>
    <row r="28" spans="1:44" ht="15" thickBot="1" x14ac:dyDescent="0.2">
      <c r="A28" s="71" t="str">
        <f>'SA Oct 2021'!K22</f>
        <v>Sumo Power</v>
      </c>
      <c r="B28" s="72" t="str">
        <f>'SA Oct 2021'!L22</f>
        <v>Freedom</v>
      </c>
      <c r="C28" s="58">
        <f>IF('SA Oct 2021'!BP22=0,91*'SA Oct 2021'!M22/100,(91*'SA Oct 2021'!M22/100)+'SA Oct 2021'!BP22/4)</f>
        <v>72.8</v>
      </c>
      <c r="D28" s="58">
        <f>IF('SA Oct 2021'!O22="",$C$5*'SA Oct 2021'!N22/100,IF($C$5&gt;='SA Oct 2021'!P22,('SA Oct 2021'!P22*'SA Oct 2021'!N22/100),($C$5*'SA Oct 2021'!N22/100)))</f>
        <v>1464.9999999999998</v>
      </c>
      <c r="E28" s="58">
        <f>IF(AND('SA Oct 2021'!P22&gt;0,'SA Oct 2021'!R22&gt;0),IF($C$5&lt;'SA Oct 2021'!P22,0,IF($C$5&lt;=('SA Oct 2021'!R22+'SA Oct 2021'!P22),(($C$5-'SA Oct 2021'!P22)*'SA Oct 2021'!Q22/100),(('SA Oct 2021'!R22)*'SA Oct 2021'!Q22/100))),0)</f>
        <v>0</v>
      </c>
      <c r="F28" s="58">
        <f>IF(AND('SA Oct 2021'!Q22&gt;0,'SA Oct 2021'!S22&gt;0),IF($C$5&lt;('SA Oct 2021'!R22+'SA Oct 2021'!P22),0,IF($C$5&lt;=('SA Oct 2021'!T22+'SA Oct 2021'!R22+'SA Oct 2021'!P22),(($C$5-('SA Oct 2021'!R22+'SA Oct 2021'!P22))*'SA Oct 2021'!S22/100),('SA Oct 2021'!T22*'SA Oct 2021'!S22/100))),0)</f>
        <v>0</v>
      </c>
      <c r="G28" s="59">
        <v>0</v>
      </c>
      <c r="H28" s="58">
        <f>IF(AND('SA Oct 2021'!R22&gt;0,'SA Oct 2021'!T22&gt;0),IF(($C$5&lt;'SA Oct 2021'!T22),(0),($C$5-'SA Oct 2021'!T22)*'SA Oct 2021'!U22/100),IF(AND('SA Oct 2021'!R22&gt;0,'SA Oct 2021'!T22=""),IF(($C$5&lt;'SA Oct 2021'!R22+'SA Oct 2021'!P22),(0),(($C$5-('SA Oct 2021'!R22+'SA Oct 2021'!P22))*'SA Oct 2021'!S22/100)),IF(AND('SA Oct 2021'!P22&gt;0,'SA Oct 2021'!R22=""&gt;0),IF(($C$5&lt;'SA Oct 2021'!P22),(0),($C$5-'SA Oct 2021'!P22)*'SA Oct 2021'!Q22/100),0)))</f>
        <v>0</v>
      </c>
      <c r="I28" s="61">
        <f t="shared" si="15"/>
        <v>1537.7999999999997</v>
      </c>
      <c r="J28" s="113">
        <f t="shared" si="16"/>
        <v>5859.9999999999991</v>
      </c>
      <c r="K28" s="114">
        <f t="shared" si="17"/>
        <v>6151.1999999999989</v>
      </c>
      <c r="L28" s="62">
        <f t="shared" si="18"/>
        <v>6766.32</v>
      </c>
      <c r="M28" s="63">
        <f>'SA Oct 2021'!BB22</f>
        <v>0</v>
      </c>
      <c r="N28" s="63">
        <f>'SA Oct 2021'!BC22</f>
        <v>0</v>
      </c>
      <c r="O28" s="63">
        <f>'SA Oct 2021'!BD22</f>
        <v>0</v>
      </c>
      <c r="P28" s="63">
        <f>'SA Oct 2021'!BE22</f>
        <v>0</v>
      </c>
      <c r="Q28" s="115" t="str">
        <f t="shared" si="19"/>
        <v>No discount</v>
      </c>
      <c r="R28" s="72" t="str">
        <f t="shared" si="20"/>
        <v>Exclusive</v>
      </c>
      <c r="S28" s="113">
        <f t="shared" si="21"/>
        <v>6151.1999999999989</v>
      </c>
      <c r="T28" s="114">
        <f t="shared" si="22"/>
        <v>6151.1999999999989</v>
      </c>
      <c r="U28" s="99">
        <f t="shared" si="23"/>
        <v>6766.32</v>
      </c>
      <c r="V28" s="100">
        <f t="shared" si="24"/>
        <v>6766.32</v>
      </c>
      <c r="W28" s="64">
        <f>'SA Oct 2021'!BL22</f>
        <v>0</v>
      </c>
      <c r="X28" s="65" t="str">
        <f>'SA Oct 2021'!BM22</f>
        <v>n</v>
      </c>
      <c r="Y28" s="325"/>
      <c r="Z28" s="325"/>
      <c r="AA28" s="325"/>
      <c r="AB28" s="325"/>
      <c r="AC28" s="325"/>
      <c r="AD28" s="325"/>
      <c r="AE28" s="325"/>
      <c r="AF28" s="325"/>
      <c r="AG28" s="325"/>
      <c r="AH28" s="325"/>
      <c r="AI28" s="325"/>
      <c r="AJ28" s="325"/>
      <c r="AK28" s="325"/>
      <c r="AL28" s="325"/>
      <c r="AM28" s="325"/>
      <c r="AN28" s="325"/>
      <c r="AO28" s="325"/>
      <c r="AP28" s="325"/>
      <c r="AQ28" s="325"/>
      <c r="AR28" s="325"/>
    </row>
    <row r="29" spans="1:44" ht="14" x14ac:dyDescent="0.15">
      <c r="A29" s="322"/>
      <c r="B29" s="322"/>
      <c r="C29" s="322"/>
      <c r="D29" s="322"/>
      <c r="E29" s="322"/>
      <c r="F29" s="322"/>
      <c r="G29" s="326"/>
      <c r="H29" s="326"/>
      <c r="I29" s="327"/>
      <c r="J29" s="327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322"/>
      <c r="AJ29" s="322"/>
      <c r="AK29" s="322"/>
      <c r="AL29" s="322"/>
      <c r="AM29" s="322"/>
      <c r="AN29" s="322"/>
      <c r="AO29" s="322"/>
      <c r="AP29" s="322"/>
      <c r="AQ29" s="322"/>
      <c r="AR29" s="322"/>
    </row>
    <row r="30" spans="1:44" ht="15" thickBot="1" x14ac:dyDescent="0.2">
      <c r="A30" s="322"/>
      <c r="B30" s="322"/>
      <c r="C30" s="322"/>
      <c r="D30" s="326"/>
      <c r="E30" s="326"/>
      <c r="F30" s="326"/>
      <c r="G30" s="326"/>
      <c r="H30" s="326"/>
      <c r="I30" s="327"/>
      <c r="J30" s="327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322"/>
      <c r="AG30" s="322"/>
      <c r="AH30" s="322"/>
      <c r="AI30" s="322"/>
      <c r="AJ30" s="322"/>
      <c r="AK30" s="322"/>
      <c r="AL30" s="322"/>
      <c r="AM30" s="322"/>
      <c r="AN30" s="322"/>
      <c r="AO30" s="322"/>
      <c r="AP30" s="322"/>
      <c r="AQ30" s="322"/>
      <c r="AR30" s="322"/>
    </row>
    <row r="31" spans="1:44" ht="14" x14ac:dyDescent="0.15">
      <c r="A31" s="36" t="s">
        <v>84</v>
      </c>
      <c r="B31" s="37"/>
      <c r="C31" s="37"/>
      <c r="D31" s="42"/>
      <c r="E31" s="42"/>
      <c r="F31" s="42"/>
      <c r="G31" s="42"/>
      <c r="H31" s="42"/>
      <c r="I31" s="43"/>
      <c r="J31" s="43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9"/>
      <c r="Y31" s="325"/>
      <c r="Z31" s="325"/>
      <c r="AA31" s="325"/>
      <c r="AB31" s="325"/>
      <c r="AC31" s="325"/>
      <c r="AD31" s="325"/>
      <c r="AE31" s="325"/>
      <c r="AF31" s="325"/>
      <c r="AG31" s="325"/>
      <c r="AH31" s="325"/>
      <c r="AI31" s="325"/>
      <c r="AJ31" s="325"/>
      <c r="AK31" s="325"/>
      <c r="AL31" s="325"/>
      <c r="AM31" s="325"/>
      <c r="AN31" s="325"/>
      <c r="AO31" s="325"/>
      <c r="AP31" s="325"/>
      <c r="AQ31" s="325"/>
      <c r="AR31" s="325"/>
    </row>
    <row r="32" spans="1:44" ht="14" x14ac:dyDescent="0.15">
      <c r="A32" s="40" t="s">
        <v>197</v>
      </c>
      <c r="B32" s="38"/>
      <c r="C32" s="47">
        <v>5000</v>
      </c>
      <c r="D32" s="44"/>
      <c r="E32" s="44"/>
      <c r="F32" s="44"/>
      <c r="G32" s="44"/>
      <c r="H32" s="44"/>
      <c r="I32" s="45"/>
      <c r="J32" s="45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41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</row>
    <row r="33" spans="1:44" ht="14" x14ac:dyDescent="0.15">
      <c r="A33" s="40" t="s">
        <v>85</v>
      </c>
      <c r="B33" s="38"/>
      <c r="C33" s="48">
        <v>0.7</v>
      </c>
      <c r="D33" s="44"/>
      <c r="E33" s="44"/>
      <c r="F33" s="44"/>
      <c r="G33" s="44"/>
      <c r="H33" s="44"/>
      <c r="I33" s="45"/>
      <c r="J33" s="45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41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2"/>
    </row>
    <row r="34" spans="1:44" ht="14" x14ac:dyDescent="0.15">
      <c r="A34" s="40" t="s">
        <v>171</v>
      </c>
      <c r="B34" s="38"/>
      <c r="C34" s="48">
        <v>0.3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325"/>
      <c r="Z34" s="325"/>
      <c r="AA34" s="325"/>
      <c r="AB34" s="325"/>
      <c r="AC34" s="325"/>
      <c r="AD34" s="325"/>
      <c r="AE34" s="325"/>
      <c r="AF34" s="325"/>
      <c r="AG34" s="325"/>
      <c r="AH34" s="325"/>
      <c r="AI34" s="325"/>
      <c r="AJ34" s="325"/>
      <c r="AK34" s="325"/>
      <c r="AL34" s="325"/>
      <c r="AM34" s="325"/>
      <c r="AN34" s="325"/>
      <c r="AO34" s="325"/>
      <c r="AP34" s="325"/>
      <c r="AQ34" s="325"/>
      <c r="AR34" s="325"/>
    </row>
    <row r="35" spans="1:44" ht="14" x14ac:dyDescent="0.15">
      <c r="A35" s="40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88"/>
      <c r="S35" s="88"/>
      <c r="T35" s="88"/>
      <c r="U35" s="88"/>
      <c r="V35" s="38"/>
      <c r="W35" s="38"/>
      <c r="X35" s="41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  <c r="AR35" s="322"/>
    </row>
    <row r="36" spans="1:44" ht="75" x14ac:dyDescent="0.15">
      <c r="A36" s="317" t="s">
        <v>216</v>
      </c>
      <c r="B36" s="272" t="s">
        <v>198</v>
      </c>
      <c r="C36" s="274" t="s">
        <v>199</v>
      </c>
      <c r="D36" s="274" t="s">
        <v>200</v>
      </c>
      <c r="E36" s="274" t="s">
        <v>201</v>
      </c>
      <c r="F36" s="274" t="s">
        <v>164</v>
      </c>
      <c r="G36" s="274" t="s">
        <v>84</v>
      </c>
      <c r="H36" s="274" t="s">
        <v>233</v>
      </c>
      <c r="I36" s="274" t="s">
        <v>165</v>
      </c>
      <c r="J36" s="275" t="s">
        <v>544</v>
      </c>
      <c r="K36" s="276" t="s">
        <v>166</v>
      </c>
      <c r="L36" s="277" t="s">
        <v>545</v>
      </c>
      <c r="M36" s="278" t="s">
        <v>167</v>
      </c>
      <c r="N36" s="278" t="s">
        <v>168</v>
      </c>
      <c r="O36" s="278" t="s">
        <v>169</v>
      </c>
      <c r="P36" s="278" t="s">
        <v>170</v>
      </c>
      <c r="Q36" s="279" t="s">
        <v>541</v>
      </c>
      <c r="R36" s="279" t="s">
        <v>542</v>
      </c>
      <c r="S36" s="280" t="s">
        <v>546</v>
      </c>
      <c r="T36" s="280" t="s">
        <v>547</v>
      </c>
      <c r="U36" s="281" t="s">
        <v>227</v>
      </c>
      <c r="V36" s="281" t="s">
        <v>272</v>
      </c>
      <c r="W36" s="278" t="s">
        <v>82</v>
      </c>
      <c r="X36" s="282" t="s">
        <v>83</v>
      </c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  <c r="AM36" s="322"/>
      <c r="AN36" s="322"/>
      <c r="AO36" s="322"/>
      <c r="AP36" s="322"/>
      <c r="AQ36" s="322"/>
      <c r="AR36" s="322"/>
    </row>
    <row r="37" spans="1:44" ht="14" x14ac:dyDescent="0.15">
      <c r="A37" s="70" t="str">
        <f>'SA Oct 2021'!K23</f>
        <v>AGL</v>
      </c>
      <c r="B37" s="49" t="str">
        <f>'SA Oct 2021'!L23</f>
        <v>Flexible Saver</v>
      </c>
      <c r="C37" s="46">
        <f>IF('SA Oct 2021'!BP23=0,91*'SA Oct 2021'!M23/100,(91*'SA Oct 2021'!M23/100)+'SA Oct 2021'!BP23/4)</f>
        <v>85.4820909090909</v>
      </c>
      <c r="D37" s="46">
        <f>IF('SA Oct 2021'!O23="",$C$32*$C$33*'SA Oct 2021'!N23/100,IF($C$32*$C$33&gt;='SA Oct 2021'!P23,('SA Oct 2021'!P23*'SA Oct 2021'!N23/100),($C$32*$C$33*'SA Oct 2021'!N23/100)))</f>
        <v>1115.5454545454545</v>
      </c>
      <c r="E37" s="46">
        <f>IF(AND('SA Oct 2021'!P23&gt;0,'SA Oct 2021'!R23&gt;0),IF($C$32*$C$33&lt;'SA Oct 2021'!P23,0,IF($C$32*$C$33&lt;=('SA Oct 2021'!R23+'SA Oct 2021'!P23),(($C$32*$C$33-'SA Oct 2021'!P23)*'SA Oct 2021'!Q23/100),(('SA Oct 2021'!R23)*'SA Oct 2021'!Q23/100))),0)</f>
        <v>0</v>
      </c>
      <c r="F37" s="46">
        <f>IF(AND('SA Oct 2021'!R23&gt;0,'SA Oct 2021'!T23&gt;0),IF(($C$32*$C$33&lt;'SA Oct 2021'!T23),(0),($C$32*$C$33-'SA Oct 2021'!T23)*'SA Oct 2021'!U23/100),IF(AND('SA Oct 2021'!R23&gt;0,'SA Oct 2021'!T23=""),IF(($C$32*$C$33&lt;'SA Oct 2021'!R23+'SA Oct 2021'!P23),(0),(($C$32*$C$33-('SA Oct 2021'!R23+'SA Oct 2021'!P23))*'SA Oct 2021'!S23/100)),IF(AND('SA Oct 2021'!P23&gt;0,'SA Oct 2021'!R23=""&gt;0),IF(($C$32*$C$33&lt;'SA Oct 2021'!P23),(0),($C$32*$C$33-'SA Oct 2021'!P23)*'SA Oct 2021'!Q23/100),0)))</f>
        <v>0</v>
      </c>
      <c r="G37" s="50">
        <f>($C$32*$C$34)*'SA Oct 2021'!AF23/100</f>
        <v>204.27272727272725</v>
      </c>
      <c r="H37" s="51">
        <v>0</v>
      </c>
      <c r="I37" s="52">
        <f t="shared" ref="I37:I53" si="25">SUM(C37:G37)</f>
        <v>1405.3002727272726</v>
      </c>
      <c r="J37" s="109">
        <f>(I37-C37)*4</f>
        <v>5279.272727272727</v>
      </c>
      <c r="K37" s="109">
        <f t="shared" ref="K37:K53" si="26">I37*4</f>
        <v>5621.2010909090905</v>
      </c>
      <c r="L37" s="53">
        <f t="shared" ref="L37:L53" si="27">K37*1.1</f>
        <v>6183.3212000000003</v>
      </c>
      <c r="M37" s="54">
        <f>'SA Oct 2021'!BB23</f>
        <v>0</v>
      </c>
      <c r="N37" s="54">
        <f>'SA Oct 2021'!BC23</f>
        <v>0</v>
      </c>
      <c r="O37" s="54">
        <f>'SA Oct 2021'!BD23</f>
        <v>0</v>
      </c>
      <c r="P37" s="54">
        <f>'SA Oct 2021'!BE23</f>
        <v>0</v>
      </c>
      <c r="Q37" s="110" t="str">
        <f t="shared" ref="Q37:Q41" si="28">IF(SUM(M37:P37)=0,"No discount",IF(M37&gt;0,"Guaranteed off bill",IF(N37&gt;0,"Guaranteed off usage",IF(O37&gt;0,"Pay-on-time off bill","Pay-on-time off usage"))))</f>
        <v>No discount</v>
      </c>
      <c r="R37" s="73" t="str">
        <f t="shared" ref="R37:R53" si="29">IF(OR(A37="Origin Energy",A37="Red Energy",A37="Powershop"),"Inclusive","Exclusive")</f>
        <v>Exclusive</v>
      </c>
      <c r="S37" s="111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5621.2010909090905</v>
      </c>
      <c r="T37" s="112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5621.2010909090905</v>
      </c>
      <c r="U37" s="97">
        <f>S37*1.1</f>
        <v>6183.3212000000003</v>
      </c>
      <c r="V37" s="98">
        <f>T37*1.1</f>
        <v>6183.3212000000003</v>
      </c>
      <c r="W37" s="55">
        <f>'SA Oct 2021'!BL23</f>
        <v>0</v>
      </c>
      <c r="X37" s="56" t="str">
        <f>'SA Oct 2021'!BM23</f>
        <v>n</v>
      </c>
      <c r="Y37" s="325"/>
      <c r="Z37" s="325"/>
      <c r="AA37" s="325"/>
      <c r="AB37" s="325"/>
      <c r="AC37" s="325"/>
      <c r="AD37" s="325"/>
      <c r="AE37" s="325"/>
      <c r="AF37" s="325"/>
      <c r="AG37" s="325"/>
      <c r="AH37" s="325"/>
      <c r="AI37" s="325"/>
      <c r="AJ37" s="325"/>
      <c r="AK37" s="325"/>
      <c r="AL37" s="325"/>
      <c r="AM37" s="325"/>
      <c r="AN37" s="325"/>
      <c r="AO37" s="325"/>
      <c r="AP37" s="325"/>
      <c r="AQ37" s="325"/>
      <c r="AR37" s="325"/>
    </row>
    <row r="38" spans="1:44" ht="14" x14ac:dyDescent="0.15">
      <c r="A38" s="70" t="str">
        <f>'SA Oct 2021'!K24</f>
        <v>Alinta Energy</v>
      </c>
      <c r="B38" s="49" t="str">
        <f>'SA Oct 2021'!L24</f>
        <v>Business Deal</v>
      </c>
      <c r="C38" s="46">
        <f>IF('SA Oct 2021'!BP24=0,91*'SA Oct 2021'!M24/100,(91*'SA Oct 2021'!M24/100)+'SA Oct 2021'!BP24/4)</f>
        <v>78.226909090909089</v>
      </c>
      <c r="D38" s="46">
        <f>IF('SA Oct 2021'!O24="",$C$32*$C$33*'SA Oct 2021'!N24/100,IF($C$32*$C$33&gt;='SA Oct 2021'!P24,('SA Oct 2021'!P24*'SA Oct 2021'!N24/100),($C$32*$C$33*'SA Oct 2021'!N24/100)))</f>
        <v>949.77272727272737</v>
      </c>
      <c r="E38" s="46">
        <f>IF(AND('SA Oct 2021'!P24&gt;0,'SA Oct 2021'!R24&gt;0),IF($C$32*$C$33&lt;'SA Oct 2021'!P24,0,IF($C$32*$C$33&lt;=('SA Oct 2021'!R24+'SA Oct 2021'!P24),(($C$32*$C$33-'SA Oct 2021'!P24)*'SA Oct 2021'!Q24/100),(('SA Oct 2021'!R24)*'SA Oct 2021'!Q24/100))),0)</f>
        <v>0</v>
      </c>
      <c r="F38" s="46">
        <f>IF(AND('SA Oct 2021'!R24&gt;0,'SA Oct 2021'!T24&gt;0),IF(($C$32*$C$33&lt;'SA Oct 2021'!T24),(0),($C$32*$C$33-'SA Oct 2021'!T24)*'SA Oct 2021'!U24/100),IF(AND('SA Oct 2021'!R24&gt;0,'SA Oct 2021'!T24=""),IF(($C$32*$C$33&lt;'SA Oct 2021'!R24+'SA Oct 2021'!P24),(0),(($C$32*$C$33-('SA Oct 2021'!R24+'SA Oct 2021'!P24))*'SA Oct 2021'!S24/100)),IF(AND('SA Oct 2021'!P24&gt;0,'SA Oct 2021'!R24=""&gt;0),IF(($C$32*$C$33&lt;'SA Oct 2021'!P24),(0),($C$32*$C$33-'SA Oct 2021'!P24)*'SA Oct 2021'!Q24/100),0)))</f>
        <v>0</v>
      </c>
      <c r="G38" s="50">
        <f>($C$32*$C$34)*'SA Oct 2021'!AF24/100</f>
        <v>232.6363636363636</v>
      </c>
      <c r="H38" s="51">
        <f>IF($C$32*$C$34&lt;'SA Oct 2021'!AG24,(0),((('SA Bills October 2021'!$C$32*'SA Bills October 2021'!$C$34)-('SA Oct 2021'!AG24))*'SA Oct 2021'!AH24/100))</f>
        <v>0</v>
      </c>
      <c r="I38" s="52">
        <f t="shared" si="25"/>
        <v>1260.636</v>
      </c>
      <c r="J38" s="109">
        <f t="shared" ref="J38:J53" si="30">(I38-C38)*4</f>
        <v>4729.636363636364</v>
      </c>
      <c r="K38" s="109">
        <f t="shared" si="26"/>
        <v>5042.5439999999999</v>
      </c>
      <c r="L38" s="53">
        <f t="shared" si="27"/>
        <v>5546.7984000000006</v>
      </c>
      <c r="M38" s="54">
        <f>'SA Oct 2021'!BB24</f>
        <v>0</v>
      </c>
      <c r="N38" s="54">
        <f>'SA Oct 2021'!BC24</f>
        <v>0</v>
      </c>
      <c r="O38" s="54">
        <f>'SA Oct 2021'!BD24</f>
        <v>0</v>
      </c>
      <c r="P38" s="54">
        <f>'SA Oct 2021'!BE24</f>
        <v>0</v>
      </c>
      <c r="Q38" s="110" t="str">
        <f t="shared" si="28"/>
        <v>No discount</v>
      </c>
      <c r="R38" s="73" t="str">
        <f t="shared" si="29"/>
        <v>Exclusive</v>
      </c>
      <c r="S38" s="111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5042.5439999999999</v>
      </c>
      <c r="T38" s="112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5042.5439999999999</v>
      </c>
      <c r="U38" s="97">
        <f t="shared" ref="U38:V53" si="31">S38*1.1</f>
        <v>5546.7984000000006</v>
      </c>
      <c r="V38" s="98">
        <f t="shared" si="31"/>
        <v>5546.7984000000006</v>
      </c>
      <c r="W38" s="55">
        <f>'SA Oct 2021'!BL24</f>
        <v>0</v>
      </c>
      <c r="X38" s="56" t="str">
        <f>'SA Oct 2021'!BM24</f>
        <v>n</v>
      </c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2"/>
      <c r="AL38" s="322"/>
      <c r="AM38" s="322"/>
      <c r="AN38" s="322"/>
      <c r="AO38" s="322"/>
      <c r="AP38" s="322"/>
      <c r="AQ38" s="322"/>
      <c r="AR38" s="322"/>
    </row>
    <row r="39" spans="1:44" ht="14" x14ac:dyDescent="0.15">
      <c r="A39" s="70" t="str">
        <f>'SA Oct 2021'!K25</f>
        <v>Diamond Energy</v>
      </c>
      <c r="B39" s="49" t="str">
        <f>'SA Oct 2021'!L25</f>
        <v>Renewable Saver POT</v>
      </c>
      <c r="C39" s="46">
        <f>IF('SA Oct 2021'!BP25=0,91*'SA Oct 2021'!M25/100,(91*'SA Oct 2021'!M25/100)+'SA Oct 2021'!BP25/4)</f>
        <v>86.904999999999987</v>
      </c>
      <c r="D39" s="46">
        <f>IF('SA Oct 2021'!O25="",$C$32*$C$33*'SA Oct 2021'!N25/100,IF($C$32*$C$33&gt;='SA Oct 2021'!P25,('SA Oct 2021'!P25*'SA Oct 2021'!N25/100),($C$32*$C$33*'SA Oct 2021'!N25/100)))</f>
        <v>301.5454545454545</v>
      </c>
      <c r="E39" s="46">
        <f>IF(AND('SA Oct 2021'!P25&gt;0,'SA Oct 2021'!R25&gt;0),IF($C$32*$C$33&lt;'SA Oct 2021'!P25,0,IF($C$32*$C$33&lt;=('SA Oct 2021'!R25+'SA Oct 2021'!P25),(($C$32*$C$33-'SA Oct 2021'!P25)*'SA Oct 2021'!Q25/100),(('SA Oct 2021'!R25)*'SA Oct 2021'!Q25/100))),0)</f>
        <v>0</v>
      </c>
      <c r="F39" s="46">
        <f>IF(AND('SA Oct 2021'!R25&gt;0,'SA Oct 2021'!T25&gt;0),IF(($C$32*$C$33&lt;'SA Oct 2021'!T25),(0),($C$32*$C$33-'SA Oct 2021'!T25)*'SA Oct 2021'!U25/100),IF(AND('SA Oct 2021'!R25&gt;0,'SA Oct 2021'!T25=""),IF(($C$32*$C$33&lt;'SA Oct 2021'!R25+'SA Oct 2021'!P25),(0),(($C$32*$C$33-('SA Oct 2021'!R25+'SA Oct 2021'!P25))*'SA Oct 2021'!S25/100)),IF(AND('SA Oct 2021'!P25&gt;0,'SA Oct 2021'!R25=""&gt;0),IF(($C$32*$C$33&lt;'SA Oct 2021'!P25),(0),($C$32*$C$33-'SA Oct 2021'!P25)*'SA Oct 2021'!Q25/100),0)))</f>
        <v>918.86363636363637</v>
      </c>
      <c r="G39" s="50">
        <f>($C$32*$C$34)*'SA Oct 2021'!AF25/100</f>
        <v>258.5454545454545</v>
      </c>
      <c r="H39" s="51">
        <v>0</v>
      </c>
      <c r="I39" s="52">
        <f t="shared" si="25"/>
        <v>1565.8595454545452</v>
      </c>
      <c r="J39" s="109">
        <f t="shared" si="30"/>
        <v>5915.8181818181811</v>
      </c>
      <c r="K39" s="109">
        <f t="shared" si="26"/>
        <v>6263.438181818181</v>
      </c>
      <c r="L39" s="53">
        <f t="shared" si="27"/>
        <v>6889.7819999999992</v>
      </c>
      <c r="M39" s="54">
        <f>'SA Oct 2021'!BB25</f>
        <v>0</v>
      </c>
      <c r="N39" s="54">
        <f>'SA Oct 2021'!BC25</f>
        <v>0</v>
      </c>
      <c r="O39" s="54">
        <f>'SA Oct 2021'!BD25</f>
        <v>7</v>
      </c>
      <c r="P39" s="54">
        <f>'SA Oct 2021'!BE25</f>
        <v>0</v>
      </c>
      <c r="Q39" s="110" t="str">
        <f t="shared" si="28"/>
        <v>Pay-on-time off bill</v>
      </c>
      <c r="R39" s="73" t="str">
        <f t="shared" si="29"/>
        <v>Exclusive</v>
      </c>
      <c r="S39" s="111">
        <f t="shared" ref="S39:S53" si="32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6263.438181818181</v>
      </c>
      <c r="T39" s="112">
        <f t="shared" ref="T39:T52" si="33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5824.9975090909084</v>
      </c>
      <c r="U39" s="97">
        <f t="shared" si="31"/>
        <v>6889.7819999999992</v>
      </c>
      <c r="V39" s="98">
        <f t="shared" si="31"/>
        <v>6407.4972600000001</v>
      </c>
      <c r="W39" s="55">
        <f>'SA Oct 2021'!BL25</f>
        <v>0</v>
      </c>
      <c r="X39" s="56" t="str">
        <f>'SA Oct 2021'!BM25</f>
        <v>n</v>
      </c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</row>
    <row r="40" spans="1:44" ht="14" x14ac:dyDescent="0.15">
      <c r="A40" s="70" t="str">
        <f>'SA Oct 2021'!K26</f>
        <v>EnergyAustralia</v>
      </c>
      <c r="B40" s="49" t="str">
        <f>'SA Oct 2021'!L26</f>
        <v>Total Plan</v>
      </c>
      <c r="C40" s="46">
        <f>IF('SA Oct 2021'!BP26=0,91*'SA Oct 2021'!M26/100,(91*'SA Oct 2021'!M26/100)+'SA Oct 2021'!BP26/4)</f>
        <v>89.634999999999977</v>
      </c>
      <c r="D40" s="46">
        <f>IF('SA Oct 2021'!O26="",$C$32*$C$33*'SA Oct 2021'!N26/100,IF($C$32*$C$33&gt;='SA Oct 2021'!P26,('SA Oct 2021'!P26*'SA Oct 2021'!N26/100),($C$32*$C$33*'SA Oct 2021'!N26/100)))</f>
        <v>1215.1363636363633</v>
      </c>
      <c r="E40" s="46">
        <f>IF(AND('SA Oct 2021'!P26&gt;0,'SA Oct 2021'!R26&gt;0),IF($C$32*$C$33&lt;'SA Oct 2021'!P26,0,IF($C$32*$C$33&lt;=('SA Oct 2021'!R26+'SA Oct 2021'!P26),(($C$32*$C$33-'SA Oct 2021'!P26)*'SA Oct 2021'!Q26/100),(('SA Oct 2021'!R26)*'SA Oct 2021'!Q26/100))),0)</f>
        <v>0</v>
      </c>
      <c r="F40" s="46">
        <f>IF(AND('SA Oct 2021'!R26&gt;0,'SA Oct 2021'!T26&gt;0),IF(($C$32*$C$33&lt;'SA Oct 2021'!T26),(0),($C$32*$C$33-'SA Oct 2021'!T26)*'SA Oct 2021'!U26/100),IF(AND('SA Oct 2021'!R26&gt;0,'SA Oct 2021'!T26=""),IF(($C$32*$C$33&lt;'SA Oct 2021'!R26+'SA Oct 2021'!P26),(0),(($C$32*$C$33-('SA Oct 2021'!R26+'SA Oct 2021'!P26))*'SA Oct 2021'!S26/100)),IF(AND('SA Oct 2021'!P26&gt;0,'SA Oct 2021'!R26=""&gt;0),IF(($C$32*$C$33&lt;'SA Oct 2021'!P26),(0),($C$32*$C$33-'SA Oct 2021'!P26)*'SA Oct 2021'!Q26/100),0)))</f>
        <v>0</v>
      </c>
      <c r="G40" s="50">
        <f>($C$32*$C$34)*'SA Oct 2021'!AF26/100</f>
        <v>220.77272727272728</v>
      </c>
      <c r="H40" s="51">
        <v>0</v>
      </c>
      <c r="I40" s="52">
        <f t="shared" si="25"/>
        <v>1525.5440909090905</v>
      </c>
      <c r="J40" s="109">
        <f t="shared" si="30"/>
        <v>5743.6363636363621</v>
      </c>
      <c r="K40" s="109">
        <f t="shared" si="26"/>
        <v>6102.1763636363621</v>
      </c>
      <c r="L40" s="53">
        <f t="shared" si="27"/>
        <v>6712.3939999999984</v>
      </c>
      <c r="M40" s="54">
        <f>'SA Oct 2021'!BB26</f>
        <v>3</v>
      </c>
      <c r="N40" s="54">
        <f>'SA Oct 2021'!BC26</f>
        <v>0</v>
      </c>
      <c r="O40" s="54">
        <f>'SA Oct 2021'!BD26</f>
        <v>0</v>
      </c>
      <c r="P40" s="54">
        <f>'SA Oct 2021'!BE26</f>
        <v>0</v>
      </c>
      <c r="Q40" s="110" t="str">
        <f t="shared" si="28"/>
        <v>Guaranteed off bill</v>
      </c>
      <c r="R40" s="73" t="str">
        <f t="shared" si="29"/>
        <v>Exclusive</v>
      </c>
      <c r="S40" s="111">
        <f t="shared" si="32"/>
        <v>5919.1110727272717</v>
      </c>
      <c r="T40" s="112">
        <f t="shared" si="33"/>
        <v>5919.1110727272717</v>
      </c>
      <c r="U40" s="97">
        <f t="shared" si="31"/>
        <v>6511.022179999999</v>
      </c>
      <c r="V40" s="98">
        <f t="shared" si="31"/>
        <v>6511.022179999999</v>
      </c>
      <c r="W40" s="55">
        <f>'SA Oct 2021'!BL26</f>
        <v>0</v>
      </c>
      <c r="X40" s="56" t="str">
        <f>'SA Oct 2021'!BM26</f>
        <v>n</v>
      </c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</row>
    <row r="41" spans="1:44" ht="14" x14ac:dyDescent="0.15">
      <c r="A41" s="70" t="str">
        <f>'SA Oct 2021'!K27</f>
        <v>Lumo Energy</v>
      </c>
      <c r="B41" s="49" t="str">
        <f>'SA Oct 2021'!L27</f>
        <v>Basic</v>
      </c>
      <c r="C41" s="46">
        <f>IF('SA Oct 2021'!BP27=0,91*'SA Oct 2021'!M27/100,(91*'SA Oct 2021'!M27/100)+'SA Oct 2021'!BP27/4)</f>
        <v>78.276545454545442</v>
      </c>
      <c r="D41" s="46">
        <f>IF('SA Oct 2021'!O27="",$C$32*$C$33*'SA Oct 2021'!N27/100,IF($C$32*$C$33&gt;='SA Oct 2021'!P27,('SA Oct 2021'!P27*'SA Oct 2021'!N27/100),($C$32*$C$33*'SA Oct 2021'!N27/100)))</f>
        <v>1034.4090909090908</v>
      </c>
      <c r="E41" s="46">
        <f>IF(AND('SA Oct 2021'!P27&gt;0,'SA Oct 2021'!R27&gt;0),IF($C$32*$C$33&lt;'SA Oct 2021'!P27,0,IF($C$32*$C$33&lt;=('SA Oct 2021'!R27+'SA Oct 2021'!P27),(($C$32*$C$33-'SA Oct 2021'!P27)*'SA Oct 2021'!Q27/100),(('SA Oct 2021'!R27)*'SA Oct 2021'!Q27/100))),0)</f>
        <v>0</v>
      </c>
      <c r="F41" s="46">
        <f>IF(AND('SA Oct 2021'!R27&gt;0,'SA Oct 2021'!T27&gt;0),IF(($C$32*$C$33&lt;'SA Oct 2021'!T27),(0),($C$32*$C$33-'SA Oct 2021'!T27)*'SA Oct 2021'!U27/100),IF(AND('SA Oct 2021'!R27&gt;0,'SA Oct 2021'!T27=""),IF(($C$32*$C$33&lt;'SA Oct 2021'!R27+'SA Oct 2021'!P27),(0),(($C$32*$C$33-('SA Oct 2021'!R27+'SA Oct 2021'!P27))*'SA Oct 2021'!S27/100)),IF(AND('SA Oct 2021'!P27&gt;0,'SA Oct 2021'!R27=""&gt;0),IF(($C$32*$C$33&lt;'SA Oct 2021'!P27),(0),($C$32*$C$33-'SA Oct 2021'!P27)*'SA Oct 2021'!Q27/100),0)))</f>
        <v>0</v>
      </c>
      <c r="G41" s="50">
        <f>($C$32*$C$34)*'SA Oct 2021'!AF27/100</f>
        <v>208.36363636363632</v>
      </c>
      <c r="H41" s="51">
        <v>1</v>
      </c>
      <c r="I41" s="52">
        <f t="shared" si="25"/>
        <v>1321.0492727272724</v>
      </c>
      <c r="J41" s="109">
        <f t="shared" si="30"/>
        <v>4971.0909090909081</v>
      </c>
      <c r="K41" s="109">
        <f t="shared" si="26"/>
        <v>5284.1970909090896</v>
      </c>
      <c r="L41" s="53">
        <f t="shared" si="27"/>
        <v>5812.6167999999989</v>
      </c>
      <c r="M41" s="54">
        <f>'SA Oct 2021'!BB27</f>
        <v>0</v>
      </c>
      <c r="N41" s="54">
        <f>'SA Oct 2021'!BC27</f>
        <v>0</v>
      </c>
      <c r="O41" s="54">
        <f>'SA Oct 2021'!BD27</f>
        <v>0</v>
      </c>
      <c r="P41" s="54">
        <f>'SA Oct 2021'!BE27</f>
        <v>0</v>
      </c>
      <c r="Q41" s="110" t="str">
        <f t="shared" si="28"/>
        <v>No discount</v>
      </c>
      <c r="R41" s="73" t="str">
        <f t="shared" si="29"/>
        <v>Exclusive</v>
      </c>
      <c r="S41" s="111">
        <f t="shared" si="32"/>
        <v>5284.1970909090896</v>
      </c>
      <c r="T41" s="112">
        <f t="shared" si="33"/>
        <v>5284.1970909090896</v>
      </c>
      <c r="U41" s="97">
        <f t="shared" si="31"/>
        <v>5812.6167999999989</v>
      </c>
      <c r="V41" s="98">
        <f t="shared" si="31"/>
        <v>5812.6167999999989</v>
      </c>
      <c r="W41" s="55">
        <f>'SA Oct 2021'!BL27</f>
        <v>0</v>
      </c>
      <c r="X41" s="56" t="str">
        <f>'SA Oct 2021'!BM27</f>
        <v>n</v>
      </c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  <c r="AM41" s="322"/>
      <c r="AN41" s="322"/>
      <c r="AO41" s="322"/>
      <c r="AP41" s="322"/>
      <c r="AQ41" s="322"/>
      <c r="AR41" s="322"/>
    </row>
    <row r="42" spans="1:44" ht="14" x14ac:dyDescent="0.15">
      <c r="A42" s="70" t="str">
        <f>'SA Oct 2021'!K28</f>
        <v>Momentum Energy</v>
      </c>
      <c r="B42" s="49" t="str">
        <f>'SA Oct 2021'!L28</f>
        <v>SmilePower Flexi</v>
      </c>
      <c r="C42" s="46">
        <f>IF('SA Oct 2021'!BP28=0,91*'SA Oct 2021'!M28/100,(91*'SA Oct 2021'!M28/100)+'SA Oct 2021'!BP28/4)</f>
        <v>81.800727272727258</v>
      </c>
      <c r="D42" s="46">
        <f>IF('SA Oct 2021'!O28="",$C$32*$C$33*'SA Oct 2021'!N28/100,IF($C$32*$C$33&gt;='SA Oct 2021'!P28,('SA Oct 2021'!P28*'SA Oct 2021'!N28/100),($C$32*$C$33*'SA Oct 2021'!N28/100)))</f>
        <v>1268.2727272727273</v>
      </c>
      <c r="E42" s="46">
        <f>IF(AND('SA Oct 2021'!P28&gt;0,'SA Oct 2021'!R28&gt;0),IF($C$32*$C$33&lt;'SA Oct 2021'!P28,0,IF($C$32*$C$33&lt;=('SA Oct 2021'!R28+'SA Oct 2021'!P28),(($C$32*$C$33-'SA Oct 2021'!P28)*'SA Oct 2021'!Q28/100),(('SA Oct 2021'!R28)*'SA Oct 2021'!Q28/100))),0)</f>
        <v>0</v>
      </c>
      <c r="F42" s="46">
        <f>IF(AND('SA Oct 2021'!R28&gt;0,'SA Oct 2021'!T28&gt;0),IF(($C$32*$C$33&lt;'SA Oct 2021'!T28),(0),($C$32*$C$33-'SA Oct 2021'!T28)*'SA Oct 2021'!U28/100),IF(AND('SA Oct 2021'!R28&gt;0,'SA Oct 2021'!T28=""),IF(($C$32*$C$33&lt;'SA Oct 2021'!R28+'SA Oct 2021'!P28),(0),(($C$32*$C$33-('SA Oct 2021'!R28+'SA Oct 2021'!P28))*'SA Oct 2021'!S28/100)),IF(AND('SA Oct 2021'!P28&gt;0,'SA Oct 2021'!R28=""&gt;0),IF(($C$32*$C$33&lt;'SA Oct 2021'!P28),(0),($C$32*$C$33-'SA Oct 2021'!P28)*'SA Oct 2021'!Q28/100),0)))</f>
        <v>0</v>
      </c>
      <c r="G42" s="50">
        <f>($C$32*$C$34)*'SA Oct 2021'!AF28/100</f>
        <v>319.63636363636363</v>
      </c>
      <c r="H42" s="51">
        <v>0</v>
      </c>
      <c r="I42" s="52">
        <f t="shared" si="25"/>
        <v>1669.7098181818183</v>
      </c>
      <c r="J42" s="109">
        <f t="shared" si="30"/>
        <v>6351.636363636364</v>
      </c>
      <c r="K42" s="109">
        <f t="shared" si="26"/>
        <v>6678.8392727272731</v>
      </c>
      <c r="L42" s="53">
        <f t="shared" si="27"/>
        <v>7346.7232000000013</v>
      </c>
      <c r="M42" s="54">
        <f>'SA Oct 2021'!BB28</f>
        <v>0</v>
      </c>
      <c r="N42" s="54">
        <f>'SA Oct 2021'!BC28</f>
        <v>0</v>
      </c>
      <c r="O42" s="54">
        <f>'SA Oct 2021'!BD28</f>
        <v>0</v>
      </c>
      <c r="P42" s="54">
        <f>'SA Oct 2021'!BE28</f>
        <v>0</v>
      </c>
      <c r="Q42" s="110" t="str">
        <f>IF(SUM(M42:P42)=0,"No discount",IF(M42&gt;0,"Guaranteed off bill",IF(N42&gt;0,"Guaranteed off usage",IF(O42&gt;0,"Pay-on-time off bill","Pay-on-time off usage"))))</f>
        <v>No discount</v>
      </c>
      <c r="R42" s="73" t="str">
        <f t="shared" si="29"/>
        <v>Exclusive</v>
      </c>
      <c r="S42" s="111">
        <f t="shared" si="32"/>
        <v>6678.8392727272731</v>
      </c>
      <c r="T42" s="112">
        <f t="shared" si="33"/>
        <v>6678.8392727272731</v>
      </c>
      <c r="U42" s="97">
        <f t="shared" si="31"/>
        <v>7346.7232000000013</v>
      </c>
      <c r="V42" s="98">
        <f t="shared" si="31"/>
        <v>7346.7232000000013</v>
      </c>
      <c r="W42" s="55">
        <f>'SA Oct 2021'!BL28</f>
        <v>0</v>
      </c>
      <c r="X42" s="56" t="str">
        <f>'SA Oct 2021'!BM28</f>
        <v>n</v>
      </c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  <c r="AO42" s="322"/>
      <c r="AP42" s="322"/>
      <c r="AQ42" s="322"/>
      <c r="AR42" s="322"/>
    </row>
    <row r="43" spans="1:44" ht="14" x14ac:dyDescent="0.15">
      <c r="A43" s="70" t="str">
        <f>'SA Oct 2021'!K29</f>
        <v>Origin Energy</v>
      </c>
      <c r="B43" s="49" t="str">
        <f>'SA Oct 2021'!L29</f>
        <v>Go</v>
      </c>
      <c r="C43" s="46">
        <f>IF('SA Oct 2021'!BP29=0,91*'SA Oct 2021'!M29/100,(91*'SA Oct 2021'!M29/100)+'SA Oct 2021'!BP29/4)</f>
        <v>66.736090909090905</v>
      </c>
      <c r="D43" s="46">
        <f>IF('SA Oct 2021'!O29="",$C$32*$C$33*'SA Oct 2021'!N29/100,IF($C$32*$C$33&gt;='SA Oct 2021'!P29,('SA Oct 2021'!P29*'SA Oct 2021'!N29/100),($C$32*$C$33*'SA Oct 2021'!N29/100)))</f>
        <v>1026.7727272727273</v>
      </c>
      <c r="E43" s="46">
        <f>IF(AND('SA Oct 2021'!P29&gt;0,'SA Oct 2021'!R29&gt;0),IF($C$32*$C$33&lt;'SA Oct 2021'!P29,0,IF($C$32*$C$33&lt;=('SA Oct 2021'!R29+'SA Oct 2021'!P29),(($C$32*$C$33-'SA Oct 2021'!P29)*'SA Oct 2021'!Q29/100),(('SA Oct 2021'!R29)*'SA Oct 2021'!Q29/100))),0)</f>
        <v>0</v>
      </c>
      <c r="F43" s="46">
        <f>IF(AND('SA Oct 2021'!R29&gt;0,'SA Oct 2021'!T29&gt;0),IF(($C$32*$C$33&lt;'SA Oct 2021'!T29),(0),($C$32*$C$33-'SA Oct 2021'!T29)*'SA Oct 2021'!U29/100),IF(AND('SA Oct 2021'!R29&gt;0,'SA Oct 2021'!T29=""),IF(($C$32*$C$33&lt;'SA Oct 2021'!R29+'SA Oct 2021'!P29),(0),(($C$32*$C$33-('SA Oct 2021'!R29+'SA Oct 2021'!P29))*'SA Oct 2021'!S29/100)),IF(AND('SA Oct 2021'!P29&gt;0,'SA Oct 2021'!R29=""&gt;0),IF(($C$32*$C$33&lt;'SA Oct 2021'!P29),(0),($C$32*$C$33-'SA Oct 2021'!P29)*'SA Oct 2021'!Q29/100),0)))</f>
        <v>0</v>
      </c>
      <c r="G43" s="50">
        <f>($C$32*$C$34)*'SA Oct 2021'!AF29/100</f>
        <v>182.31818181818181</v>
      </c>
      <c r="H43" s="51">
        <v>0</v>
      </c>
      <c r="I43" s="52">
        <f t="shared" si="25"/>
        <v>1275.827</v>
      </c>
      <c r="J43" s="109">
        <f t="shared" si="30"/>
        <v>4836.363636363636</v>
      </c>
      <c r="K43" s="109">
        <f t="shared" si="26"/>
        <v>5103.308</v>
      </c>
      <c r="L43" s="53">
        <f t="shared" si="27"/>
        <v>5613.6388000000006</v>
      </c>
      <c r="M43" s="54">
        <f>'SA Oct 2021'!BB29</f>
        <v>0</v>
      </c>
      <c r="N43" s="54">
        <f>'SA Oct 2021'!BC29</f>
        <v>0</v>
      </c>
      <c r="O43" s="54">
        <f>'SA Oct 2021'!BD29</f>
        <v>0</v>
      </c>
      <c r="P43" s="54">
        <f>'SA Oct 2021'!BE29</f>
        <v>0</v>
      </c>
      <c r="Q43" s="110" t="str">
        <f t="shared" ref="Q43:Q51" si="34">IF(SUM(M43:P43)=0,"No discount",IF(M43&gt;0,"Guaranteed off bill",IF(N43&gt;0,"Guaranteed off usage",IF(O43&gt;0,"Pay-on-time off bill","Pay-on-time off usage"))))</f>
        <v>No discount</v>
      </c>
      <c r="R43" s="73" t="str">
        <f t="shared" si="29"/>
        <v>Inclusive</v>
      </c>
      <c r="S43" s="111">
        <f t="shared" si="32"/>
        <v>5103.308</v>
      </c>
      <c r="T43" s="112">
        <f t="shared" si="33"/>
        <v>5103.308</v>
      </c>
      <c r="U43" s="97">
        <f t="shared" si="31"/>
        <v>5613.6388000000006</v>
      </c>
      <c r="V43" s="98">
        <f t="shared" si="31"/>
        <v>5613.6388000000006</v>
      </c>
      <c r="W43" s="55">
        <f>'SA Oct 2021'!BL29</f>
        <v>0</v>
      </c>
      <c r="X43" s="56" t="str">
        <f>'SA Oct 2021'!BM29</f>
        <v>n</v>
      </c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325"/>
      <c r="AK43" s="325"/>
      <c r="AL43" s="325"/>
      <c r="AM43" s="325"/>
      <c r="AN43" s="325"/>
      <c r="AO43" s="325"/>
      <c r="AP43" s="325"/>
      <c r="AQ43" s="325"/>
      <c r="AR43" s="325"/>
    </row>
    <row r="44" spans="1:44" ht="14" x14ac:dyDescent="0.15">
      <c r="A44" s="70" t="str">
        <f>'SA Oct 2021'!K30</f>
        <v>Powerdirect</v>
      </c>
      <c r="B44" s="49" t="str">
        <f>'SA Oct 2021'!L30</f>
        <v>Business Rate Saver</v>
      </c>
      <c r="C44" s="46">
        <f>IF('SA Oct 2021'!BP30=0,91*'SA Oct 2021'!M30/100,(91*'SA Oct 2021'!M30/100)+'SA Oct 2021'!BP30/4)</f>
        <v>80.832818181818169</v>
      </c>
      <c r="D44" s="46">
        <f>IF('SA Oct 2021'!O30="",$C$32*$C$33*'SA Oct 2021'!N30/100,IF($C$32*$C$33&gt;='SA Oct 2021'!P30,('SA Oct 2021'!P30*'SA Oct 2021'!N30/100),($C$32*$C$33*'SA Oct 2021'!N30/100)))</f>
        <v>1054.7727272727273</v>
      </c>
      <c r="E44" s="46">
        <f>IF(AND('SA Oct 2021'!P30&gt;0,'SA Oct 2021'!R30&gt;0),IF($C$32*$C$33&lt;'SA Oct 2021'!P30,0,IF($C$32*$C$33&lt;=('SA Oct 2021'!R30+'SA Oct 2021'!P30),(($C$32*$C$33-'SA Oct 2021'!P30)*'SA Oct 2021'!Q30/100),(('SA Oct 2021'!R30)*'SA Oct 2021'!Q30/100))),0)</f>
        <v>0</v>
      </c>
      <c r="F44" s="46">
        <f>IF(AND('SA Oct 2021'!R30&gt;0,'SA Oct 2021'!T30&gt;0),IF(($C$32*$C$33&lt;'SA Oct 2021'!T30),(0),($C$32*$C$33-'SA Oct 2021'!T30)*'SA Oct 2021'!U30/100),IF(AND('SA Oct 2021'!R30&gt;0,'SA Oct 2021'!T30=""),IF(($C$32*$C$33&lt;'SA Oct 2021'!R30+'SA Oct 2021'!P30),(0),(($C$32*$C$33-('SA Oct 2021'!R30+'SA Oct 2021'!P30))*'SA Oct 2021'!S30/100)),IF(AND('SA Oct 2021'!P30&gt;0,'SA Oct 2021'!R30=""&gt;0),IF(($C$32*$C$33&lt;'SA Oct 2021'!P30),(0),($C$32*$C$33-'SA Oct 2021'!P30)*'SA Oct 2021'!Q30/100),0)))</f>
        <v>0</v>
      </c>
      <c r="G44" s="50">
        <f>($C$32*$C$34)*'SA Oct 2021'!AF30/100</f>
        <v>193.22727272727272</v>
      </c>
      <c r="H44" s="51">
        <v>0</v>
      </c>
      <c r="I44" s="52">
        <f t="shared" si="25"/>
        <v>1328.8328181818181</v>
      </c>
      <c r="J44" s="109">
        <f t="shared" si="30"/>
        <v>4992</v>
      </c>
      <c r="K44" s="109">
        <f t="shared" si="26"/>
        <v>5315.3312727272723</v>
      </c>
      <c r="L44" s="53">
        <f t="shared" si="27"/>
        <v>5846.8644000000004</v>
      </c>
      <c r="M44" s="54">
        <f>'SA Oct 2021'!BB30</f>
        <v>0</v>
      </c>
      <c r="N44" s="54">
        <f>'SA Oct 2021'!BC30</f>
        <v>0</v>
      </c>
      <c r="O44" s="54">
        <f>'SA Oct 2021'!BD30</f>
        <v>0</v>
      </c>
      <c r="P44" s="54">
        <f>'SA Oct 2021'!BE30</f>
        <v>0</v>
      </c>
      <c r="Q44" s="110" t="str">
        <f t="shared" si="34"/>
        <v>No discount</v>
      </c>
      <c r="R44" s="73" t="str">
        <f t="shared" si="29"/>
        <v>Exclusive</v>
      </c>
      <c r="S44" s="111">
        <f t="shared" si="32"/>
        <v>5315.3312727272723</v>
      </c>
      <c r="T44" s="112">
        <f t="shared" si="33"/>
        <v>5315.3312727272723</v>
      </c>
      <c r="U44" s="97">
        <f t="shared" si="31"/>
        <v>5846.8644000000004</v>
      </c>
      <c r="V44" s="98">
        <f t="shared" si="31"/>
        <v>5846.8644000000004</v>
      </c>
      <c r="W44" s="55">
        <f>'SA Oct 2021'!BL30</f>
        <v>0</v>
      </c>
      <c r="X44" s="56" t="str">
        <f>'SA Oct 2021'!BM30</f>
        <v>n</v>
      </c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</row>
    <row r="45" spans="1:44" ht="14" x14ac:dyDescent="0.15">
      <c r="A45" s="70" t="str">
        <f>'SA Oct 2021'!K31</f>
        <v>Red Energy</v>
      </c>
      <c r="B45" s="49" t="str">
        <f>'SA Oct 2021'!L31</f>
        <v>Red Business Saver</v>
      </c>
      <c r="C45" s="46">
        <f>IF('SA Oct 2021'!BP31=0,91*'SA Oct 2021'!M31/100,(91*'SA Oct 2021'!M31/100)+'SA Oct 2021'!BP31/4)</f>
        <v>78.276545454545442</v>
      </c>
      <c r="D45" s="46">
        <f>IF('SA Oct 2021'!O31="",$C$32*$C$33*'SA Oct 2021'!N31/100,IF($C$32*$C$33&gt;='SA Oct 2021'!P31,('SA Oct 2021'!P31*'SA Oct 2021'!N31/100),($C$32*$C$33*'SA Oct 2021'!N31/100)))</f>
        <v>1034.4090909090908</v>
      </c>
      <c r="E45" s="46">
        <f>IF(AND('SA Oct 2021'!P31&gt;0,'SA Oct 2021'!R31&gt;0),IF($C$32*$C$33&lt;'SA Oct 2021'!P31,0,IF($C$32*$C$33&lt;=('SA Oct 2021'!R31+'SA Oct 2021'!P31),(($C$32*$C$33-'SA Oct 2021'!P31)*'SA Oct 2021'!Q31/100),(('SA Oct 2021'!R31)*'SA Oct 2021'!Q31/100))),0)</f>
        <v>0</v>
      </c>
      <c r="F45" s="46">
        <f>IF(AND('SA Oct 2021'!R31&gt;0,'SA Oct 2021'!T31&gt;0),IF(($C$32*$C$33&lt;'SA Oct 2021'!T31),(0),($C$32*$C$33-'SA Oct 2021'!T31)*'SA Oct 2021'!U31/100),IF(AND('SA Oct 2021'!R31&gt;0,'SA Oct 2021'!T31=""),IF(($C$32*$C$33&lt;'SA Oct 2021'!R31+'SA Oct 2021'!P31),(0),(($C$32*$C$33-('SA Oct 2021'!R31+'SA Oct 2021'!P31))*'SA Oct 2021'!S31/100)),IF(AND('SA Oct 2021'!P31&gt;0,'SA Oct 2021'!R31=""&gt;0),IF(($C$32*$C$33&lt;'SA Oct 2021'!P31),(0),($C$32*$C$33-'SA Oct 2021'!P31)*'SA Oct 2021'!Q31/100),0)))</f>
        <v>0</v>
      </c>
      <c r="G45" s="50">
        <f>($C$32*$C$34)*'SA Oct 2021'!AF31/100</f>
        <v>208.36363636363632</v>
      </c>
      <c r="H45" s="51">
        <v>0</v>
      </c>
      <c r="I45" s="52">
        <f t="shared" si="25"/>
        <v>1321.0492727272724</v>
      </c>
      <c r="J45" s="109">
        <f t="shared" si="30"/>
        <v>4971.0909090909081</v>
      </c>
      <c r="K45" s="109">
        <f t="shared" si="26"/>
        <v>5284.1970909090896</v>
      </c>
      <c r="L45" s="53">
        <f t="shared" si="27"/>
        <v>5812.6167999999989</v>
      </c>
      <c r="M45" s="54">
        <f>'SA Oct 2021'!BB31</f>
        <v>0</v>
      </c>
      <c r="N45" s="54">
        <f>'SA Oct 2021'!BC31</f>
        <v>0</v>
      </c>
      <c r="O45" s="54">
        <f>'SA Oct 2021'!BD31</f>
        <v>0</v>
      </c>
      <c r="P45" s="54">
        <f>'SA Oct 2021'!BE31</f>
        <v>0</v>
      </c>
      <c r="Q45" s="110" t="str">
        <f t="shared" si="34"/>
        <v>No discount</v>
      </c>
      <c r="R45" s="73" t="str">
        <f t="shared" si="29"/>
        <v>Inclusive</v>
      </c>
      <c r="S45" s="111">
        <f t="shared" si="32"/>
        <v>5284.1970909090896</v>
      </c>
      <c r="T45" s="112">
        <f t="shared" si="33"/>
        <v>5284.1970909090896</v>
      </c>
      <c r="U45" s="97">
        <f t="shared" si="31"/>
        <v>5812.6167999999989</v>
      </c>
      <c r="V45" s="98">
        <f t="shared" si="31"/>
        <v>5812.6167999999989</v>
      </c>
      <c r="W45" s="55">
        <f>'SA Oct 2021'!BL31</f>
        <v>0</v>
      </c>
      <c r="X45" s="56" t="str">
        <f>'SA Oct 2021'!BM31</f>
        <v>n</v>
      </c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/>
      <c r="AR45" s="322"/>
    </row>
    <row r="46" spans="1:44" ht="14" x14ac:dyDescent="0.15">
      <c r="A46" s="70" t="str">
        <f>'SA Oct 2021'!K32</f>
        <v>Simply Energy</v>
      </c>
      <c r="B46" s="49" t="str">
        <f>'SA Oct 2021'!L32</f>
        <v>Business Saver</v>
      </c>
      <c r="C46" s="46">
        <f>IF('SA Oct 2021'!BP32=0,91*'SA Oct 2021'!M32/100,(91*'SA Oct 2021'!M32/100)+'SA Oct 2021'!BP32/4)</f>
        <v>88.179000000000002</v>
      </c>
      <c r="D46" s="46">
        <f>IF('SA Oct 2021'!O32="",$C$32*$C$33*'SA Oct 2021'!N32/100,IF($C$32*$C$33&gt;='SA Oct 2021'!P32,('SA Oct 2021'!P32*'SA Oct 2021'!N32/100),($C$32*$C$33*'SA Oct 2021'!N32/100)))</f>
        <v>1207.8181818181818</v>
      </c>
      <c r="E46" s="46">
        <f>IF(AND('SA Oct 2021'!P32&gt;0,'SA Oct 2021'!R32&gt;0),IF($C$32*$C$33&lt;'SA Oct 2021'!P32,0,IF($C$32*$C$33&lt;=('SA Oct 2021'!R32+'SA Oct 2021'!P32),(($C$32*$C$33-'SA Oct 2021'!P32)*'SA Oct 2021'!Q32/100),(('SA Oct 2021'!R32)*'SA Oct 2021'!Q32/100))),0)</f>
        <v>0</v>
      </c>
      <c r="F46" s="46">
        <f>IF(AND('SA Oct 2021'!R32&gt;0,'SA Oct 2021'!T32&gt;0),IF(($C$32*$C$33&lt;'SA Oct 2021'!T32),(0),($C$32*$C$33-'SA Oct 2021'!T32)*'SA Oct 2021'!U32/100),IF(AND('SA Oct 2021'!R32&gt;0,'SA Oct 2021'!T32=""),IF(($C$32*$C$33&lt;'SA Oct 2021'!R32+'SA Oct 2021'!P32),(0),(($C$32*$C$33-('SA Oct 2021'!R32+'SA Oct 2021'!P32))*'SA Oct 2021'!S32/100)),IF(AND('SA Oct 2021'!P32&gt;0,'SA Oct 2021'!R32=""&gt;0),IF(($C$32*$C$33&lt;'SA Oct 2021'!P32),(0),($C$32*$C$33-'SA Oct 2021'!P32)*'SA Oct 2021'!Q32/100),0)))</f>
        <v>0</v>
      </c>
      <c r="G46" s="50">
        <f>($C$32*$C$34)*'SA Oct 2021'!AF32/100</f>
        <v>218.86363636363637</v>
      </c>
      <c r="H46" s="51">
        <v>0</v>
      </c>
      <c r="I46" s="52">
        <f t="shared" si="25"/>
        <v>1514.8608181818181</v>
      </c>
      <c r="J46" s="109">
        <f t="shared" si="30"/>
        <v>5706.7272727272721</v>
      </c>
      <c r="K46" s="109">
        <f t="shared" si="26"/>
        <v>6059.4432727272724</v>
      </c>
      <c r="L46" s="53">
        <f t="shared" si="27"/>
        <v>6665.3876</v>
      </c>
      <c r="M46" s="54">
        <f>'SA Oct 2021'!BB32</f>
        <v>18</v>
      </c>
      <c r="N46" s="54">
        <f>'SA Oct 2021'!BC32</f>
        <v>0</v>
      </c>
      <c r="O46" s="54">
        <f>'SA Oct 2021'!BD32</f>
        <v>0</v>
      </c>
      <c r="P46" s="54">
        <f>'SA Oct 2021'!BE32</f>
        <v>0</v>
      </c>
      <c r="Q46" s="110" t="str">
        <f t="shared" si="34"/>
        <v>Guaranteed off bill</v>
      </c>
      <c r="R46" s="73" t="str">
        <f t="shared" si="29"/>
        <v>Exclusive</v>
      </c>
      <c r="S46" s="111">
        <f t="shared" si="32"/>
        <v>4968.7434836363636</v>
      </c>
      <c r="T46" s="112">
        <f t="shared" si="33"/>
        <v>4968.7434836363636</v>
      </c>
      <c r="U46" s="97">
        <f t="shared" si="31"/>
        <v>5465.6178320000008</v>
      </c>
      <c r="V46" s="98">
        <f t="shared" si="31"/>
        <v>5465.6178320000008</v>
      </c>
      <c r="W46" s="55">
        <f>'SA Oct 2021'!BL32</f>
        <v>0</v>
      </c>
      <c r="X46" s="56" t="str">
        <f>'SA Oct 2021'!BM32</f>
        <v>n</v>
      </c>
      <c r="Y46" s="325"/>
      <c r="Z46" s="325"/>
      <c r="AA46" s="325"/>
      <c r="AB46" s="325"/>
      <c r="AC46" s="325"/>
      <c r="AD46" s="325"/>
      <c r="AE46" s="325"/>
      <c r="AF46" s="325"/>
      <c r="AG46" s="325"/>
      <c r="AH46" s="325"/>
      <c r="AI46" s="325"/>
      <c r="AJ46" s="325"/>
      <c r="AK46" s="325"/>
      <c r="AL46" s="325"/>
      <c r="AM46" s="325"/>
      <c r="AN46" s="325"/>
      <c r="AO46" s="325"/>
      <c r="AP46" s="325"/>
      <c r="AQ46" s="325"/>
      <c r="AR46" s="325"/>
    </row>
    <row r="47" spans="1:44" ht="14" x14ac:dyDescent="0.15">
      <c r="A47" s="70" t="str">
        <f>'SA Oct 2021'!K33</f>
        <v>Powershop</v>
      </c>
      <c r="B47" s="49" t="str">
        <f>'SA Oct 2021'!L33</f>
        <v>Carbon Neutral - Rate Lock</v>
      </c>
      <c r="C47" s="46">
        <f>IF('SA Oct 2021'!BP33=0,91*'SA Oct 2021'!M33/100,(91*'SA Oct 2021'!M33/100)+'SA Oct 2021'!BP33/4)</f>
        <v>102.55699999999999</v>
      </c>
      <c r="D47" s="46">
        <f>IF('SA Oct 2021'!O33="",$C$32*$C$33*'SA Oct 2021'!N33/100,IF($C$32*$C$33&gt;='SA Oct 2021'!P33,('SA Oct 2021'!P33*'SA Oct 2021'!N33/100),($C$32*$C$33*'SA Oct 2021'!N33/100)))</f>
        <v>1025.4999999999998</v>
      </c>
      <c r="E47" s="46">
        <f>IF(AND('SA Oct 2021'!P33&gt;0,'SA Oct 2021'!R33&gt;0),IF($C$32*$C$33&lt;'SA Oct 2021'!P33,0,IF($C$32*$C$33&lt;=('SA Oct 2021'!R33+'SA Oct 2021'!P33),(($C$32*$C$33-'SA Oct 2021'!P33)*'SA Oct 2021'!Q33/100),(('SA Oct 2021'!R33)*'SA Oct 2021'!Q33/100))),0)</f>
        <v>0</v>
      </c>
      <c r="F47" s="46">
        <f>IF(AND('SA Oct 2021'!R33&gt;0,'SA Oct 2021'!T33&gt;0),IF(($C$32*$C$33&lt;'SA Oct 2021'!T33),(0),($C$32*$C$33-'SA Oct 2021'!T33)*'SA Oct 2021'!U33/100),IF(AND('SA Oct 2021'!R33&gt;0,'SA Oct 2021'!T33=""),IF(($C$32*$C$33&lt;'SA Oct 2021'!R33+'SA Oct 2021'!P33),(0),(($C$32*$C$33-('SA Oct 2021'!R33+'SA Oct 2021'!P33))*'SA Oct 2021'!S33/100)),IF(AND('SA Oct 2021'!P33&gt;0,'SA Oct 2021'!R33=""&gt;0),IF(($C$32*$C$33&lt;'SA Oct 2021'!P33),(0),($C$32*$C$33-'SA Oct 2021'!P33)*'SA Oct 2021'!Q33/100),0)))</f>
        <v>0</v>
      </c>
      <c r="G47" s="50">
        <f>($C$32*$C$34)*'SA Oct 2021'!AF33/100</f>
        <v>236.59090909090912</v>
      </c>
      <c r="H47" s="51">
        <v>0</v>
      </c>
      <c r="I47" s="52">
        <f t="shared" si="25"/>
        <v>1364.6479090909088</v>
      </c>
      <c r="J47" s="109">
        <f t="shared" si="30"/>
        <v>5048.3636363636351</v>
      </c>
      <c r="K47" s="109">
        <f t="shared" si="26"/>
        <v>5458.5916363636352</v>
      </c>
      <c r="L47" s="53">
        <f t="shared" si="27"/>
        <v>6004.4507999999996</v>
      </c>
      <c r="M47" s="54">
        <f>'SA Oct 2021'!BB33</f>
        <v>0</v>
      </c>
      <c r="N47" s="54">
        <f>'SA Oct 2021'!BC33</f>
        <v>0</v>
      </c>
      <c r="O47" s="54">
        <f>'SA Oct 2021'!BD33</f>
        <v>0</v>
      </c>
      <c r="P47" s="54">
        <f>'SA Oct 2021'!BE33</f>
        <v>0</v>
      </c>
      <c r="Q47" s="110" t="str">
        <f t="shared" si="34"/>
        <v>No discount</v>
      </c>
      <c r="R47" s="73" t="str">
        <f t="shared" si="29"/>
        <v>Inclusive</v>
      </c>
      <c r="S47" s="111">
        <f t="shared" si="32"/>
        <v>5458.5916363636352</v>
      </c>
      <c r="T47" s="112">
        <f t="shared" si="33"/>
        <v>5458.5916363636352</v>
      </c>
      <c r="U47" s="97">
        <f t="shared" si="31"/>
        <v>6004.4507999999996</v>
      </c>
      <c r="V47" s="98">
        <f t="shared" si="31"/>
        <v>6004.4507999999996</v>
      </c>
      <c r="W47" s="55">
        <f>'SA Oct 2021'!BL33</f>
        <v>0</v>
      </c>
      <c r="X47" s="56" t="str">
        <f>'SA Oct 2021'!BM33</f>
        <v>n</v>
      </c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</row>
    <row r="48" spans="1:44" ht="14" x14ac:dyDescent="0.15">
      <c r="A48" s="70" t="str">
        <f>'SA Oct 2021'!K34</f>
        <v>Energy Locals</v>
      </c>
      <c r="B48" s="49" t="str">
        <f>'SA Oct 2021'!L34</f>
        <v>Business Member</v>
      </c>
      <c r="C48" s="46">
        <f>IF('SA Oct 2021'!BP34=0,91*'SA Oct 2021'!M34/100,(91*'SA Oct 2021'!M34/100)+'SA Oct 2021'!BP34/4)</f>
        <v>104.59545454545454</v>
      </c>
      <c r="D48" s="46">
        <f>IF('SA Oct 2021'!O34="",$C$32*$C$33*'SA Oct 2021'!N34/100,IF($C$32*$C$33&gt;='SA Oct 2021'!P34,('SA Oct 2021'!P34*'SA Oct 2021'!N34/100),($C$32*$C$33*'SA Oct 2021'!N34/100)))</f>
        <v>906.81818181818176</v>
      </c>
      <c r="E48" s="46">
        <f>IF(AND('SA Oct 2021'!P34&gt;0,'SA Oct 2021'!R34&gt;0),IF($C$32*$C$33&lt;'SA Oct 2021'!P34,0,IF($C$32*$C$33&lt;=('SA Oct 2021'!R34+'SA Oct 2021'!P34),(($C$32*$C$33-'SA Oct 2021'!P34)*'SA Oct 2021'!Q34/100),(('SA Oct 2021'!R34)*'SA Oct 2021'!Q34/100))),0)</f>
        <v>0</v>
      </c>
      <c r="F48" s="46">
        <f>IF(AND('SA Oct 2021'!R34&gt;0,'SA Oct 2021'!T34&gt;0),IF(($C$32*$C$33&lt;'SA Oct 2021'!T34),(0),($C$32*$C$33-'SA Oct 2021'!T34)*'SA Oct 2021'!U34/100),IF(AND('SA Oct 2021'!R34&gt;0,'SA Oct 2021'!T34=""),IF(($C$32*$C$33&lt;'SA Oct 2021'!R34+'SA Oct 2021'!P34),(0),(($C$32*$C$33-('SA Oct 2021'!R34+'SA Oct 2021'!P34))*'SA Oct 2021'!S34/100)),IF(AND('SA Oct 2021'!P34&gt;0,'SA Oct 2021'!R34=""&gt;0),IF(($C$32*$C$33&lt;'SA Oct 2021'!P34),(0),($C$32*$C$33-'SA Oct 2021'!P34)*'SA Oct 2021'!Q34/100),0)))</f>
        <v>0</v>
      </c>
      <c r="G48" s="50">
        <f>($C$32*$C$34)*'SA Oct 2021'!AF34/100</f>
        <v>265.90909090909088</v>
      </c>
      <c r="H48" s="51">
        <v>0</v>
      </c>
      <c r="I48" s="52">
        <f t="shared" si="25"/>
        <v>1277.3227272727272</v>
      </c>
      <c r="J48" s="109">
        <f t="shared" si="30"/>
        <v>4690.909090909091</v>
      </c>
      <c r="K48" s="109">
        <f t="shared" si="26"/>
        <v>5109.2909090909088</v>
      </c>
      <c r="L48" s="53">
        <f t="shared" si="27"/>
        <v>5620.22</v>
      </c>
      <c r="M48" s="54">
        <f>'SA Oct 2021'!BB34</f>
        <v>0</v>
      </c>
      <c r="N48" s="54">
        <f>'SA Oct 2021'!BC34</f>
        <v>0</v>
      </c>
      <c r="O48" s="54">
        <f>'SA Oct 2021'!BD34</f>
        <v>0</v>
      </c>
      <c r="P48" s="54">
        <f>'SA Oct 2021'!BE34</f>
        <v>0</v>
      </c>
      <c r="Q48" s="110" t="str">
        <f t="shared" si="34"/>
        <v>No discount</v>
      </c>
      <c r="R48" s="73" t="str">
        <f t="shared" si="29"/>
        <v>Exclusive</v>
      </c>
      <c r="S48" s="111">
        <f t="shared" si="32"/>
        <v>5109.2909090909088</v>
      </c>
      <c r="T48" s="112">
        <f t="shared" si="33"/>
        <v>5109.2909090909088</v>
      </c>
      <c r="U48" s="97">
        <f t="shared" si="31"/>
        <v>5620.22</v>
      </c>
      <c r="V48" s="98">
        <f t="shared" si="31"/>
        <v>5620.22</v>
      </c>
      <c r="W48" s="55">
        <f>'SA Oct 2021'!BL34</f>
        <v>0</v>
      </c>
      <c r="X48" s="56" t="str">
        <f>'SA Oct 2021'!BM34</f>
        <v>n</v>
      </c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</row>
    <row r="49" spans="1:44" ht="14" x14ac:dyDescent="0.15">
      <c r="A49" s="70" t="str">
        <f>'SA Oct 2021'!K35</f>
        <v>Future X Power</v>
      </c>
      <c r="B49" s="49" t="str">
        <f>'SA Oct 2021'!L35</f>
        <v>Business Smart</v>
      </c>
      <c r="C49" s="46">
        <f>IF('SA Oct 2021'!BP35=0,91*'SA Oct 2021'!M35/100,(91*'SA Oct 2021'!M35/100)+'SA Oct 2021'!BP35/4)</f>
        <v>70.979999999999976</v>
      </c>
      <c r="D49" s="46">
        <f>IF('SA Oct 2021'!O35="",$C$32*$C$33*'SA Oct 2021'!N35/100,IF($C$32*$C$33&gt;='SA Oct 2021'!P35,('SA Oct 2021'!P35*'SA Oct 2021'!N35/100),($C$32*$C$33*'SA Oct 2021'!N35/100)))</f>
        <v>967.85123966942137</v>
      </c>
      <c r="E49" s="46">
        <f>IF(AND('SA Oct 2021'!P35&gt;0,'SA Oct 2021'!R35&gt;0),IF($C$32*$C$33&lt;'SA Oct 2021'!P35,0,IF($C$32*$C$33&lt;=('SA Oct 2021'!R35+'SA Oct 2021'!P35),(($C$32*$C$33-'SA Oct 2021'!P35)*'SA Oct 2021'!Q35/100),(('SA Oct 2021'!R35)*'SA Oct 2021'!Q35/100))),0)</f>
        <v>0</v>
      </c>
      <c r="F49" s="46">
        <f>IF(AND('SA Oct 2021'!R35&gt;0,'SA Oct 2021'!T35&gt;0),IF(($C$32*$C$33&lt;'SA Oct 2021'!T35),(0),($C$32*$C$33-'SA Oct 2021'!T35)*'SA Oct 2021'!U35/100),IF(AND('SA Oct 2021'!R35&gt;0,'SA Oct 2021'!T35=""),IF(($C$32*$C$33&lt;'SA Oct 2021'!R35+'SA Oct 2021'!P35),(0),(($C$32*$C$33-('SA Oct 2021'!R35+'SA Oct 2021'!P35))*'SA Oct 2021'!S35/100)),IF(AND('SA Oct 2021'!P35&gt;0,'SA Oct 2021'!R35=""&gt;0),IF(($C$32*$C$33&lt;'SA Oct 2021'!P35),(0),($C$32*$C$33-'SA Oct 2021'!P35)*'SA Oct 2021'!Q35/100),0)))</f>
        <v>0</v>
      </c>
      <c r="G49" s="50">
        <f>($C$32*$C$34)*'SA Oct 2021'!AF35/100</f>
        <v>212.9752066115702</v>
      </c>
      <c r="H49" s="51">
        <v>0</v>
      </c>
      <c r="I49" s="52">
        <f t="shared" si="25"/>
        <v>1251.8064462809916</v>
      </c>
      <c r="J49" s="111">
        <f t="shared" si="30"/>
        <v>4723.3057851239664</v>
      </c>
      <c r="K49" s="109">
        <f t="shared" si="26"/>
        <v>5007.2257851239665</v>
      </c>
      <c r="L49" s="53">
        <f t="shared" si="27"/>
        <v>5507.9483636363639</v>
      </c>
      <c r="M49" s="54">
        <f>'SA Oct 2021'!BB35</f>
        <v>0</v>
      </c>
      <c r="N49" s="54">
        <f>'SA Oct 2021'!BC35</f>
        <v>0</v>
      </c>
      <c r="O49" s="54">
        <f>'SA Oct 2021'!BD35</f>
        <v>0</v>
      </c>
      <c r="P49" s="54">
        <f>'SA Oct 2021'!BE35</f>
        <v>0</v>
      </c>
      <c r="Q49" s="110" t="str">
        <f t="shared" si="34"/>
        <v>No discount</v>
      </c>
      <c r="R49" s="73" t="str">
        <f t="shared" si="29"/>
        <v>Exclusive</v>
      </c>
      <c r="S49" s="111">
        <f t="shared" si="32"/>
        <v>5007.2257851239665</v>
      </c>
      <c r="T49" s="112">
        <f t="shared" si="33"/>
        <v>5007.2257851239665</v>
      </c>
      <c r="U49" s="97">
        <f t="shared" si="31"/>
        <v>5507.9483636363639</v>
      </c>
      <c r="V49" s="268">
        <f t="shared" si="31"/>
        <v>5507.9483636363639</v>
      </c>
      <c r="W49" s="55">
        <f>'SA Oct 2021'!BL35</f>
        <v>0</v>
      </c>
      <c r="X49" s="56" t="str">
        <f>'SA Oct 2021'!BM35</f>
        <v>n</v>
      </c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</row>
    <row r="50" spans="1:44" ht="14" x14ac:dyDescent="0.15">
      <c r="A50" s="70" t="str">
        <f>'SA Oct 2021'!K36</f>
        <v>Discover Energy</v>
      </c>
      <c r="B50" s="49" t="str">
        <f>'SA Oct 2021'!L36</f>
        <v>Business Smart Saver</v>
      </c>
      <c r="C50" s="46">
        <f>IF('SA Oct 2021'!BP36=0,91*'SA Oct 2021'!M36/100,(91*'SA Oct 2021'!M36/100)+'SA Oct 2021'!BP36/4)</f>
        <v>64.609999999999985</v>
      </c>
      <c r="D50" s="46">
        <f>IF('SA Oct 2021'!O36="",$C$32*$C$33*'SA Oct 2021'!N36/100,IF($C$32*$C$33&gt;='SA Oct 2021'!P36,('SA Oct 2021'!P36*'SA Oct 2021'!N36/100),($C$32*$C$33*'SA Oct 2021'!N36/100)))</f>
        <v>1231.9999999999998</v>
      </c>
      <c r="E50" s="46">
        <f>IF(AND('SA Oct 2021'!P36&gt;0,'SA Oct 2021'!R36&gt;0),IF($C$32*$C$33&lt;'SA Oct 2021'!P36,0,IF($C$32*$C$33&lt;=('SA Oct 2021'!R36+'SA Oct 2021'!P36),(($C$32*$C$33-'SA Oct 2021'!P36)*'SA Oct 2021'!Q36/100),(('SA Oct 2021'!R36)*'SA Oct 2021'!Q36/100))),0)</f>
        <v>0</v>
      </c>
      <c r="F50" s="46">
        <f>IF(AND('SA Oct 2021'!R36&gt;0,'SA Oct 2021'!T36&gt;0),IF(($C$32*$C$33&lt;'SA Oct 2021'!T36),(0),($C$32*$C$33-'SA Oct 2021'!T36)*'SA Oct 2021'!U36/100),IF(AND('SA Oct 2021'!R36&gt;0,'SA Oct 2021'!T36=""),IF(($C$32*$C$33&lt;'SA Oct 2021'!R36+'SA Oct 2021'!P36),(0),(($C$32*$C$33-('SA Oct 2021'!R36+'SA Oct 2021'!P36))*'SA Oct 2021'!S36/100)),IF(AND('SA Oct 2021'!P36&gt;0,'SA Oct 2021'!R36=""&gt;0),IF(($C$32*$C$33&lt;'SA Oct 2021'!P36),(0),($C$32*$C$33-'SA Oct 2021'!P36)*'SA Oct 2021'!Q36/100),0)))</f>
        <v>0</v>
      </c>
      <c r="G50" s="50">
        <f>($C$32*$C$34)*'SA Oct 2021'!AF36/100</f>
        <v>240</v>
      </c>
      <c r="H50" s="51">
        <v>0</v>
      </c>
      <c r="I50" s="52">
        <f t="shared" si="25"/>
        <v>1536.6099999999997</v>
      </c>
      <c r="J50" s="111">
        <f t="shared" si="30"/>
        <v>5887.9999999999991</v>
      </c>
      <c r="K50" s="109">
        <f t="shared" si="26"/>
        <v>6146.4399999999987</v>
      </c>
      <c r="L50" s="53">
        <f t="shared" si="27"/>
        <v>6761.0839999999989</v>
      </c>
      <c r="M50" s="54">
        <f>'SA Oct 2021'!BB36</f>
        <v>0</v>
      </c>
      <c r="N50" s="54">
        <f>'SA Oct 2021'!BC36</f>
        <v>15</v>
      </c>
      <c r="O50" s="54">
        <f>'SA Oct 2021'!BD36</f>
        <v>0</v>
      </c>
      <c r="P50" s="54">
        <f>'SA Oct 2021'!BE36</f>
        <v>0</v>
      </c>
      <c r="Q50" s="110" t="str">
        <f t="shared" si="34"/>
        <v>Guaranteed off usage</v>
      </c>
      <c r="R50" s="73" t="str">
        <f t="shared" si="29"/>
        <v>Exclusive</v>
      </c>
      <c r="S50" s="111">
        <f t="shared" si="32"/>
        <v>5263.2399999999989</v>
      </c>
      <c r="T50" s="112">
        <f t="shared" si="33"/>
        <v>5263.2399999999989</v>
      </c>
      <c r="U50" s="97">
        <f t="shared" si="31"/>
        <v>5789.5639999999994</v>
      </c>
      <c r="V50" s="268">
        <f t="shared" si="31"/>
        <v>5789.5639999999994</v>
      </c>
      <c r="W50" s="55">
        <f>'SA Oct 2021'!BL36</f>
        <v>0</v>
      </c>
      <c r="X50" s="56" t="str">
        <f>'SA Oct 2021'!BM36</f>
        <v>n</v>
      </c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</row>
    <row r="51" spans="1:44" ht="14" x14ac:dyDescent="0.15">
      <c r="A51" s="70" t="str">
        <f>'SA Oct 2021'!K37</f>
        <v>ReAmped Energy</v>
      </c>
      <c r="B51" s="49" t="str">
        <f>'SA Oct 2021'!L37</f>
        <v>ReAmped Business</v>
      </c>
      <c r="C51" s="46">
        <f>IF('SA Oct 2021'!BP37=0,91*'SA Oct 2021'!M37/100,(91*'SA Oct 2021'!M37/100)+'SA Oct 2021'!BP37/4)</f>
        <v>66.521000000000001</v>
      </c>
      <c r="D51" s="46">
        <f>IF('SA Oct 2021'!O37="",$C$32*$C$33*'SA Oct 2021'!N37/100,IF($C$32*$C$33&gt;='SA Oct 2021'!P37,('SA Oct 2021'!P37*'SA Oct 2021'!N37/100),($C$32*$C$33*'SA Oct 2021'!N37/100)))</f>
        <v>964.40909090909076</v>
      </c>
      <c r="E51" s="46">
        <f>IF(AND('SA Oct 2021'!P37&gt;0,'SA Oct 2021'!R37&gt;0),IF($C$32*$C$33&lt;'SA Oct 2021'!P37,0,IF($C$32*$C$33&lt;=('SA Oct 2021'!R37+'SA Oct 2021'!P37),(($C$32*$C$33-'SA Oct 2021'!P37)*'SA Oct 2021'!Q37/100),(('SA Oct 2021'!R37)*'SA Oct 2021'!Q37/100))),0)</f>
        <v>0</v>
      </c>
      <c r="F51" s="46">
        <f>IF(AND('SA Oct 2021'!R37&gt;0,'SA Oct 2021'!T37&gt;0),IF(($C$32*$C$33&lt;'SA Oct 2021'!T37),(0),($C$32*$C$33-'SA Oct 2021'!T37)*'SA Oct 2021'!U37/100),IF(AND('SA Oct 2021'!R37&gt;0,'SA Oct 2021'!T37=""),IF(($C$32*$C$33&lt;'SA Oct 2021'!R37+'SA Oct 2021'!P37),(0),(($C$32*$C$33-('SA Oct 2021'!R37+'SA Oct 2021'!P37))*'SA Oct 2021'!S37/100)),IF(AND('SA Oct 2021'!P37&gt;0,'SA Oct 2021'!R37=""&gt;0),IF(($C$32*$C$33&lt;'SA Oct 2021'!P37),(0),($C$32*$C$33-'SA Oct 2021'!P37)*'SA Oct 2021'!Q37/100),0)))</f>
        <v>0</v>
      </c>
      <c r="G51" s="50">
        <f>($C$32*$C$34)*'SA Oct 2021'!AF37/100</f>
        <v>182.04545454545453</v>
      </c>
      <c r="H51" s="51">
        <v>0</v>
      </c>
      <c r="I51" s="52">
        <f t="shared" si="25"/>
        <v>1212.9755454545452</v>
      </c>
      <c r="J51" s="111">
        <f t="shared" si="30"/>
        <v>4585.8181818181811</v>
      </c>
      <c r="K51" s="109">
        <f t="shared" si="26"/>
        <v>4851.9021818181809</v>
      </c>
      <c r="L51" s="53">
        <f t="shared" si="27"/>
        <v>5337.0923999999995</v>
      </c>
      <c r="M51" s="54">
        <f>'SA Oct 2021'!BB37</f>
        <v>0</v>
      </c>
      <c r="N51" s="54">
        <f>'SA Oct 2021'!BC37</f>
        <v>0</v>
      </c>
      <c r="O51" s="54">
        <f>'SA Oct 2021'!BD37</f>
        <v>0</v>
      </c>
      <c r="P51" s="54">
        <f>'SA Oct 2021'!BE37</f>
        <v>0</v>
      </c>
      <c r="Q51" s="110" t="str">
        <f t="shared" si="34"/>
        <v>No discount</v>
      </c>
      <c r="R51" s="73" t="str">
        <f t="shared" si="29"/>
        <v>Exclusive</v>
      </c>
      <c r="S51" s="111">
        <f t="shared" si="32"/>
        <v>4851.9021818181809</v>
      </c>
      <c r="T51" s="112">
        <f t="shared" si="33"/>
        <v>4851.9021818181809</v>
      </c>
      <c r="U51" s="97">
        <f t="shared" si="31"/>
        <v>5337.0923999999995</v>
      </c>
      <c r="V51" s="268">
        <f t="shared" si="31"/>
        <v>5337.0923999999995</v>
      </c>
      <c r="W51" s="55">
        <f>'SA Oct 2021'!BL37</f>
        <v>0</v>
      </c>
      <c r="X51" s="56" t="str">
        <f>'SA Oct 2021'!BM37</f>
        <v>n</v>
      </c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  <c r="AR51" s="322"/>
    </row>
    <row r="52" spans="1:44" ht="14" x14ac:dyDescent="0.15">
      <c r="A52" s="70" t="str">
        <f>'SA Oct 2021'!K38</f>
        <v>Covau</v>
      </c>
      <c r="B52" s="49" t="str">
        <f>'SA Oct 2021'!L38</f>
        <v xml:space="preserve">Freedom </v>
      </c>
      <c r="C52" s="46">
        <f>IF('SA Oct 2021'!BP38=0,91*'SA Oct 2021'!M38/100,(91*'SA Oct 2021'!M38/100)+'SA Oct 2021'!BP38/4)</f>
        <v>68.25</v>
      </c>
      <c r="D52" s="46">
        <f>IF('SA Oct 2021'!O38="",$C$32*$C$33*'SA Oct 2021'!N38/100,IF($C$32*$C$33&gt;='SA Oct 2021'!P38,('SA Oct 2021'!P38*'SA Oct 2021'!N38/100),($C$32*$C$33*'SA Oct 2021'!N38/100)))</f>
        <v>1080.8636363636363</v>
      </c>
      <c r="E52" s="46">
        <f>IF(AND('SA Oct 2021'!P38&gt;0,'SA Oct 2021'!R38&gt;0),IF($C$32*$C$33&lt;'SA Oct 2021'!P38,0,IF($C$32*$C$33&lt;=('SA Oct 2021'!R38+'SA Oct 2021'!P38),(($C$32*$C$33-'SA Oct 2021'!P38)*'SA Oct 2021'!Q38/100),(('SA Oct 2021'!R38)*'SA Oct 2021'!Q38/100))),0)</f>
        <v>0</v>
      </c>
      <c r="F52" s="46">
        <f>IF(AND('SA Oct 2021'!R38&gt;0,'SA Oct 2021'!T38&gt;0),IF(($C$32*$C$33&lt;'SA Oct 2021'!T38),(0),($C$32*$C$33-'SA Oct 2021'!T38)*'SA Oct 2021'!U38/100),IF(AND('SA Oct 2021'!R38&gt;0,'SA Oct 2021'!T38=""),IF(($C$32*$C$33&lt;'SA Oct 2021'!R38+'SA Oct 2021'!P38),(0),(($C$32*$C$33-('SA Oct 2021'!R38+'SA Oct 2021'!P38))*'SA Oct 2021'!S38/100)),IF(AND('SA Oct 2021'!P38&gt;0,'SA Oct 2021'!R38=""&gt;0),IF(($C$32*$C$33&lt;'SA Oct 2021'!P38),(0),($C$32*$C$33-'SA Oct 2021'!P38)*'SA Oct 2021'!Q38/100),0)))</f>
        <v>0</v>
      </c>
      <c r="G52" s="50">
        <f>($C$32*$C$34)*'SA Oct 2021'!AF38/100</f>
        <v>227.99999999999997</v>
      </c>
      <c r="H52" s="51">
        <v>1</v>
      </c>
      <c r="I52" s="52">
        <f t="shared" si="25"/>
        <v>1377.1136363636363</v>
      </c>
      <c r="J52" s="111">
        <f t="shared" si="30"/>
        <v>5235.454545454545</v>
      </c>
      <c r="K52" s="109">
        <f t="shared" si="26"/>
        <v>5508.454545454545</v>
      </c>
      <c r="L52" s="53">
        <f t="shared" si="27"/>
        <v>6059.3</v>
      </c>
      <c r="M52" s="54">
        <f>'SA Oct 2021'!BB38</f>
        <v>0</v>
      </c>
      <c r="N52" s="54">
        <f>'SA Oct 2021'!BC38</f>
        <v>5</v>
      </c>
      <c r="O52" s="54">
        <f>'SA Oct 2021'!BD38</f>
        <v>0</v>
      </c>
      <c r="P52" s="54">
        <f>'SA Oct 2021'!BE38</f>
        <v>0</v>
      </c>
      <c r="Q52" s="110" t="str">
        <f t="shared" ref="Q52:Q53" si="35">IF(SUM(M52:P52)=0,"No discount",IF(M52&gt;0,"Guaranteed off bill",IF(N52&gt;0,"Guaranteed off usage",IF(O52&gt;0,"Pay-on-time off bill","Pay-on-time off usage"))))</f>
        <v>Guaranteed off usage</v>
      </c>
      <c r="R52" s="73" t="str">
        <f t="shared" si="29"/>
        <v>Exclusive</v>
      </c>
      <c r="S52" s="111">
        <f t="shared" si="32"/>
        <v>5246.681818181818</v>
      </c>
      <c r="T52" s="112">
        <f t="shared" si="33"/>
        <v>5246.681818181818</v>
      </c>
      <c r="U52" s="97">
        <f t="shared" si="31"/>
        <v>5771.35</v>
      </c>
      <c r="V52" s="268">
        <f t="shared" si="31"/>
        <v>5771.35</v>
      </c>
      <c r="W52" s="55">
        <f>'SA Oct 2021'!BL38</f>
        <v>0</v>
      </c>
      <c r="X52" s="56" t="str">
        <f>'SA Oct 2021'!BM38</f>
        <v>n</v>
      </c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</row>
    <row r="53" spans="1:44" ht="14" x14ac:dyDescent="0.15">
      <c r="A53" s="70" t="str">
        <f>'SA Oct 2021'!K39</f>
        <v>1st Energy</v>
      </c>
      <c r="B53" s="49" t="str">
        <f>'SA Oct 2021'!L39</f>
        <v>1st Saver Plus</v>
      </c>
      <c r="C53" s="46">
        <f>IF('SA Oct 2021'!BP39=0,91*'SA Oct 2021'!M39/100,(91*'SA Oct 2021'!M39/100)+'SA Oct 2021'!BP39/4)</f>
        <v>80.038636363636357</v>
      </c>
      <c r="D53" s="46">
        <f>IF('SA Oct 2021'!O39="",$C$32*$C$33*'SA Oct 2021'!N39/100,IF($C$32*$C$33&gt;='SA Oct 2021'!P39,('SA Oct 2021'!P39*'SA Oct 2021'!N39/100),($C$32*$C$33*'SA Oct 2021'!N39/100)))</f>
        <v>1220.8636363636363</v>
      </c>
      <c r="E53" s="46">
        <f>IF(AND('SA Oct 2021'!P39&gt;0,'SA Oct 2021'!R39&gt;0),IF($C$32*$C$33&lt;'SA Oct 2021'!P39,0,IF($C$32*$C$33&lt;=('SA Oct 2021'!R39+'SA Oct 2021'!P39),(($C$32*$C$33-'SA Oct 2021'!P39)*'SA Oct 2021'!Q39/100),(('SA Oct 2021'!R39)*'SA Oct 2021'!Q39/100))),0)</f>
        <v>0</v>
      </c>
      <c r="F53" s="46">
        <f>IF(AND('SA Oct 2021'!R39&gt;0,'SA Oct 2021'!T39&gt;0),IF(($C$32*$C$33&lt;'SA Oct 2021'!T39),(0),($C$32*$C$33-'SA Oct 2021'!T39)*'SA Oct 2021'!U39/100),IF(AND('SA Oct 2021'!R39&gt;0,'SA Oct 2021'!T39=""),IF(($C$32*$C$33&lt;'SA Oct 2021'!R39+'SA Oct 2021'!P39),(0),(($C$32*$C$33-('SA Oct 2021'!R39+'SA Oct 2021'!P39))*'SA Oct 2021'!S39/100)),IF(AND('SA Oct 2021'!P39&gt;0,'SA Oct 2021'!R39=""&gt;0),IF(($C$32*$C$33&lt;'SA Oct 2021'!P39),(0),($C$32*$C$33-'SA Oct 2021'!P39)*'SA Oct 2021'!Q39/100),0)))</f>
        <v>0</v>
      </c>
      <c r="G53" s="50">
        <f>($C$32*$C$34)*'SA Oct 2021'!AF39/100</f>
        <v>217.22727272727272</v>
      </c>
      <c r="H53" s="51">
        <v>2</v>
      </c>
      <c r="I53" s="52">
        <f t="shared" si="25"/>
        <v>1518.1295454545455</v>
      </c>
      <c r="J53" s="111">
        <f t="shared" si="30"/>
        <v>5752.363636363636</v>
      </c>
      <c r="K53" s="109">
        <f t="shared" si="26"/>
        <v>6072.5181818181818</v>
      </c>
      <c r="L53" s="53">
        <f t="shared" si="27"/>
        <v>6679.77</v>
      </c>
      <c r="M53" s="54">
        <f>'SA Oct 2021'!BB39</f>
        <v>4</v>
      </c>
      <c r="N53" s="54">
        <f>'SA Oct 2021'!BC39</f>
        <v>0</v>
      </c>
      <c r="O53" s="54">
        <f>'SA Oct 2021'!BD39</f>
        <v>10</v>
      </c>
      <c r="P53" s="54">
        <f>'SA Oct 2021'!BE39</f>
        <v>0</v>
      </c>
      <c r="Q53" s="110" t="str">
        <f t="shared" si="35"/>
        <v>Guaranteed off bill</v>
      </c>
      <c r="R53" s="73" t="str">
        <f t="shared" si="29"/>
        <v>Exclusive</v>
      </c>
      <c r="S53" s="111">
        <f t="shared" si="32"/>
        <v>5829.6174545454542</v>
      </c>
      <c r="T53" s="112">
        <f>S53-(S53*O53/100)</f>
        <v>5246.6557090909082</v>
      </c>
      <c r="U53" s="97">
        <f t="shared" si="31"/>
        <v>6412.5792000000001</v>
      </c>
      <c r="V53" s="268">
        <f t="shared" si="31"/>
        <v>5771.3212799999992</v>
      </c>
      <c r="W53" s="55">
        <f>'SA Oct 2021'!BL39</f>
        <v>0</v>
      </c>
      <c r="X53" s="56" t="str">
        <f>'SA Oct 2021'!BM39</f>
        <v>n</v>
      </c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22"/>
      <c r="AP53" s="322"/>
      <c r="AQ53" s="322"/>
      <c r="AR53" s="322"/>
    </row>
    <row r="54" spans="1:44" ht="14" x14ac:dyDescent="0.15">
      <c r="A54" s="70" t="str">
        <f>'SA Oct 2021'!K40</f>
        <v>Blue NRG</v>
      </c>
      <c r="B54" s="49" t="str">
        <f>'SA Oct 2021'!L40</f>
        <v>Blue Lightning</v>
      </c>
      <c r="C54" s="46">
        <f>IF('SA Oct 2021'!BP40=0,91*'SA Oct 2021'!M40/100,(91*'SA Oct 2021'!M40/100)+'SA Oct 2021'!BP40/4)</f>
        <v>90.379545454545436</v>
      </c>
      <c r="D54" s="46">
        <f>IF('SA Oct 2021'!O40="",$C$32*$C$33*'SA Oct 2021'!N40/100,IF($C$32*$C$33&gt;='SA Oct 2021'!P40,('SA Oct 2021'!P40*'SA Oct 2021'!N40/100),($C$32*$C$33*'SA Oct 2021'!N40/100)))</f>
        <v>900.77272727272725</v>
      </c>
      <c r="E54" s="46">
        <f>IF(AND('SA Oct 2021'!P40&gt;0,'SA Oct 2021'!R40&gt;0),IF($C$32*$C$33&lt;'SA Oct 2021'!P40,0,IF($C$32*$C$33&lt;=('SA Oct 2021'!R40+'SA Oct 2021'!P40),(($C$32*$C$33-'SA Oct 2021'!P40)*'SA Oct 2021'!Q40/100),(('SA Oct 2021'!R40)*'SA Oct 2021'!Q40/100))),0)</f>
        <v>0</v>
      </c>
      <c r="F54" s="46">
        <f>IF(AND('SA Oct 2021'!R40&gt;0,'SA Oct 2021'!T40&gt;0),IF(($C$32*$C$33&lt;'SA Oct 2021'!T40),(0),($C$32*$C$33-'SA Oct 2021'!T40)*'SA Oct 2021'!U40/100),IF(AND('SA Oct 2021'!R40&gt;0,'SA Oct 2021'!T40=""),IF(($C$32*$C$33&lt;'SA Oct 2021'!R40+'SA Oct 2021'!P40),(0),(($C$32*$C$33-('SA Oct 2021'!R40+'SA Oct 2021'!P40))*'SA Oct 2021'!S40/100)),IF(AND('SA Oct 2021'!P40&gt;0,'SA Oct 2021'!R40=""&gt;0),IF(($C$32*$C$33&lt;'SA Oct 2021'!P40),(0),($C$32*$C$33-'SA Oct 2021'!P40)*'SA Oct 2021'!Q40/100),0)))</f>
        <v>0</v>
      </c>
      <c r="G54" s="50">
        <f>($C$32*$C$34)*'SA Oct 2021'!AF40/100</f>
        <v>200.31818181818181</v>
      </c>
      <c r="H54" s="51">
        <v>3</v>
      </c>
      <c r="I54" s="52">
        <f t="shared" ref="I54:I56" si="36">SUM(C54:G54)</f>
        <v>1191.4704545454545</v>
      </c>
      <c r="J54" s="111">
        <f t="shared" ref="J54:J56" si="37">(I54-C54)*4</f>
        <v>4404.363636363636</v>
      </c>
      <c r="K54" s="109">
        <f t="shared" ref="K54:K56" si="38">I54*4</f>
        <v>4765.8818181818178</v>
      </c>
      <c r="L54" s="53">
        <f t="shared" ref="L54:L56" si="39">K54*1.1</f>
        <v>5242.47</v>
      </c>
      <c r="M54" s="54">
        <f>'SA Oct 2021'!BB40</f>
        <v>0</v>
      </c>
      <c r="N54" s="54">
        <f>'SA Oct 2021'!BC40</f>
        <v>0</v>
      </c>
      <c r="O54" s="54">
        <f>'SA Oct 2021'!BD40</f>
        <v>0</v>
      </c>
      <c r="P54" s="54">
        <f>'SA Oct 2021'!BE40</f>
        <v>0</v>
      </c>
      <c r="Q54" s="110" t="str">
        <f t="shared" ref="Q54:Q56" si="40">IF(SUM(M54:P54)=0,"No discount",IF(M54&gt;0,"Guaranteed off bill",IF(N54&gt;0,"Guaranteed off usage",IF(O54&gt;0,"Pay-on-time off bill","Pay-on-time off usage"))))</f>
        <v>No discount</v>
      </c>
      <c r="R54" s="73" t="str">
        <f t="shared" ref="R54:R56" si="41">IF(OR(A54="Origin Energy",A54="Red Energy",A54="Powershop"),"Inclusive","Exclusive")</f>
        <v>Exclusive</v>
      </c>
      <c r="S54" s="111">
        <f t="shared" ref="S54:S56" si="42"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4765.8818181818178</v>
      </c>
      <c r="T54" s="112">
        <f t="shared" ref="T54:T56" si="43">S54-(S54*O54/100)</f>
        <v>4765.8818181818178</v>
      </c>
      <c r="U54" s="97">
        <f t="shared" ref="U54:U56" si="44">S54*1.1</f>
        <v>5242.47</v>
      </c>
      <c r="V54" s="268">
        <f t="shared" ref="V54:V56" si="45">T54*1.1</f>
        <v>5242.47</v>
      </c>
      <c r="W54" s="55">
        <f>'SA Oct 2021'!BL40</f>
        <v>0</v>
      </c>
      <c r="X54" s="56" t="str">
        <f>'SA Oct 2021'!BM40</f>
        <v>n</v>
      </c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2"/>
      <c r="AO54" s="322"/>
      <c r="AP54" s="322"/>
      <c r="AQ54" s="322"/>
      <c r="AR54" s="322"/>
    </row>
    <row r="55" spans="1:44" ht="14" x14ac:dyDescent="0.15">
      <c r="A55" s="70" t="str">
        <f>'SA Oct 2021'!K41</f>
        <v>Glow Power</v>
      </c>
      <c r="B55" s="49" t="str">
        <f>'SA Oct 2021'!L41</f>
        <v>Everyday Saver</v>
      </c>
      <c r="C55" s="46">
        <f>IF('SA Oct 2021'!BP41=0,91*'SA Oct 2021'!M41/100,(91*'SA Oct 2021'!M41/100)+'SA Oct 2021'!BP41/4)</f>
        <v>81.899999999999991</v>
      </c>
      <c r="D55" s="46">
        <f>IF('SA Oct 2021'!O41="",$C$32*$C$33*'SA Oct 2021'!N41/100,IF($C$32*$C$33&gt;='SA Oct 2021'!P41,('SA Oct 2021'!P41*'SA Oct 2021'!N41/100),($C$32*$C$33*'SA Oct 2021'!N41/100)))</f>
        <v>922.72727272727263</v>
      </c>
      <c r="E55" s="46">
        <f>IF(AND('SA Oct 2021'!P41&gt;0,'SA Oct 2021'!R41&gt;0),IF($C$32*$C$33&lt;'SA Oct 2021'!P41,0,IF($C$32*$C$33&lt;=('SA Oct 2021'!R41+'SA Oct 2021'!P41),(($C$32*$C$33-'SA Oct 2021'!P41)*'SA Oct 2021'!Q41/100),(('SA Oct 2021'!R41)*'SA Oct 2021'!Q41/100))),0)</f>
        <v>0</v>
      </c>
      <c r="F55" s="46">
        <f>IF(AND('SA Oct 2021'!R41&gt;0,'SA Oct 2021'!T41&gt;0),IF(($C$32*$C$33&lt;'SA Oct 2021'!T41),(0),($C$32*$C$33-'SA Oct 2021'!T41)*'SA Oct 2021'!U41/100),IF(AND('SA Oct 2021'!R41&gt;0,'SA Oct 2021'!T41=""),IF(($C$32*$C$33&lt;'SA Oct 2021'!R41+'SA Oct 2021'!P41),(0),(($C$32*$C$33-('SA Oct 2021'!R41+'SA Oct 2021'!P41))*'SA Oct 2021'!S41/100)),IF(AND('SA Oct 2021'!P41&gt;0,'SA Oct 2021'!R41=""&gt;0),IF(($C$32*$C$33&lt;'SA Oct 2021'!P41),(0),($C$32*$C$33-'SA Oct 2021'!P41)*'SA Oct 2021'!Q41/100),0)))</f>
        <v>0</v>
      </c>
      <c r="G55" s="50">
        <f>($C$32*$C$34)*'SA Oct 2021'!AF41/100</f>
        <v>259.09090909090907</v>
      </c>
      <c r="H55" s="51">
        <v>4</v>
      </c>
      <c r="I55" s="52">
        <f t="shared" si="36"/>
        <v>1263.7181818181816</v>
      </c>
      <c r="J55" s="111">
        <f t="shared" si="37"/>
        <v>4727.2727272727261</v>
      </c>
      <c r="K55" s="109">
        <f t="shared" si="38"/>
        <v>5054.8727272727265</v>
      </c>
      <c r="L55" s="53">
        <f t="shared" si="39"/>
        <v>5560.36</v>
      </c>
      <c r="M55" s="54">
        <f>'SA Oct 2021'!BB41</f>
        <v>0</v>
      </c>
      <c r="N55" s="54">
        <f>'SA Oct 2021'!BC41</f>
        <v>0</v>
      </c>
      <c r="O55" s="54">
        <f>'SA Oct 2021'!BD41</f>
        <v>0</v>
      </c>
      <c r="P55" s="54">
        <f>'SA Oct 2021'!BE41</f>
        <v>0</v>
      </c>
      <c r="Q55" s="110" t="str">
        <f t="shared" si="40"/>
        <v>No discount</v>
      </c>
      <c r="R55" s="73" t="str">
        <f t="shared" si="41"/>
        <v>Exclusive</v>
      </c>
      <c r="S55" s="111">
        <f t="shared" si="42"/>
        <v>5054.8727272727265</v>
      </c>
      <c r="T55" s="112">
        <f t="shared" si="43"/>
        <v>5054.8727272727265</v>
      </c>
      <c r="U55" s="97">
        <f t="shared" si="44"/>
        <v>5560.36</v>
      </c>
      <c r="V55" s="268">
        <f t="shared" si="45"/>
        <v>5560.36</v>
      </c>
      <c r="W55" s="55">
        <f>'SA Oct 2021'!BL41</f>
        <v>0</v>
      </c>
      <c r="X55" s="56" t="str">
        <f>'SA Oct 2021'!BM41</f>
        <v>n</v>
      </c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22"/>
      <c r="AP55" s="322"/>
      <c r="AQ55" s="322"/>
      <c r="AR55" s="322"/>
    </row>
    <row r="56" spans="1:44" ht="15" thickBot="1" x14ac:dyDescent="0.2">
      <c r="A56" s="71" t="str">
        <f>'SA Oct 2021'!K42</f>
        <v>Sumo Power</v>
      </c>
      <c r="B56" s="57" t="str">
        <f>'SA Oct 2021'!L42</f>
        <v>Freedom</v>
      </c>
      <c r="C56" s="58">
        <f>IF('SA Oct 2021'!BP42=0,91*'SA Oct 2021'!M42/100,(91*'SA Oct 2021'!M42/100)+'SA Oct 2021'!BP42/4)</f>
        <v>72.8</v>
      </c>
      <c r="D56" s="58">
        <f>IF('SA Oct 2021'!O42="",$C$32*$C$33*'SA Oct 2021'!N42/100,IF($C$32*$C$33&gt;='SA Oct 2021'!P42,('SA Oct 2021'!P42*'SA Oct 2021'!N42/100),($C$32*$C$33*'SA Oct 2021'!N42/100)))</f>
        <v>1025.4999999999998</v>
      </c>
      <c r="E56" s="58">
        <f>IF(AND('SA Oct 2021'!P42&gt;0,'SA Oct 2021'!R42&gt;0),IF($C$32*$C$33&lt;'SA Oct 2021'!P42,0,IF($C$32*$C$33&lt;=('SA Oct 2021'!R42+'SA Oct 2021'!P42),(($C$32*$C$33-'SA Oct 2021'!P42)*'SA Oct 2021'!Q42/100),(('SA Oct 2021'!R42)*'SA Oct 2021'!Q42/100))),0)</f>
        <v>0</v>
      </c>
      <c r="F56" s="58">
        <f>IF(AND('SA Oct 2021'!R42&gt;0,'SA Oct 2021'!T42&gt;0),IF(($C$32*$C$33&lt;'SA Oct 2021'!T42),(0),($C$32*$C$33-'SA Oct 2021'!T42)*'SA Oct 2021'!U42/100),IF(AND('SA Oct 2021'!R42&gt;0,'SA Oct 2021'!T42=""),IF(($C$32*$C$33&lt;'SA Oct 2021'!R42+'SA Oct 2021'!P42),(0),(($C$32*$C$33-('SA Oct 2021'!R42+'SA Oct 2021'!P42))*'SA Oct 2021'!S42/100)),IF(AND('SA Oct 2021'!P42&gt;0,'SA Oct 2021'!R42=""&gt;0),IF(($C$32*$C$33&lt;'SA Oct 2021'!P42),(0),($C$32*$C$33-'SA Oct 2021'!P42)*'SA Oct 2021'!Q42/100),0)))</f>
        <v>0</v>
      </c>
      <c r="G56" s="59">
        <f>($C$32*$C$34)*'SA Oct 2021'!AF42/100</f>
        <v>226.49999999999997</v>
      </c>
      <c r="H56" s="60">
        <v>5</v>
      </c>
      <c r="I56" s="61">
        <f t="shared" si="36"/>
        <v>1324.7999999999997</v>
      </c>
      <c r="J56" s="113">
        <f t="shared" si="37"/>
        <v>5007.9999999999991</v>
      </c>
      <c r="K56" s="116">
        <f t="shared" si="38"/>
        <v>5299.1999999999989</v>
      </c>
      <c r="L56" s="62">
        <f t="shared" si="39"/>
        <v>5829.119999999999</v>
      </c>
      <c r="M56" s="63">
        <f>'SA Oct 2021'!BB42</f>
        <v>0</v>
      </c>
      <c r="N56" s="63">
        <f>'SA Oct 2021'!BC42</f>
        <v>0</v>
      </c>
      <c r="O56" s="63">
        <f>'SA Oct 2021'!BD42</f>
        <v>0</v>
      </c>
      <c r="P56" s="63">
        <f>'SA Oct 2021'!BE42</f>
        <v>0</v>
      </c>
      <c r="Q56" s="115" t="str">
        <f t="shared" si="40"/>
        <v>No discount</v>
      </c>
      <c r="R56" s="72" t="str">
        <f t="shared" si="41"/>
        <v>Exclusive</v>
      </c>
      <c r="S56" s="113">
        <f t="shared" si="42"/>
        <v>5299.1999999999989</v>
      </c>
      <c r="T56" s="114">
        <f t="shared" si="43"/>
        <v>5299.1999999999989</v>
      </c>
      <c r="U56" s="99">
        <f t="shared" si="44"/>
        <v>5829.119999999999</v>
      </c>
      <c r="V56" s="101">
        <f t="shared" si="45"/>
        <v>5829.119999999999</v>
      </c>
      <c r="W56" s="64">
        <f>'SA Oct 2021'!BL42</f>
        <v>0</v>
      </c>
      <c r="X56" s="65" t="str">
        <f>'SA Oct 2021'!BM42</f>
        <v>n</v>
      </c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</row>
    <row r="57" spans="1:44" ht="14" x14ac:dyDescent="0.15">
      <c r="A57" s="322"/>
      <c r="B57" s="322"/>
      <c r="C57" s="322"/>
      <c r="D57" s="322"/>
      <c r="E57" s="322"/>
      <c r="F57" s="322"/>
      <c r="G57" s="322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  <c r="AR57" s="322"/>
    </row>
    <row r="58" spans="1:44" ht="15" thickBot="1" x14ac:dyDescent="0.2">
      <c r="A58" s="322"/>
      <c r="B58" s="322"/>
      <c r="C58" s="322"/>
      <c r="D58" s="322"/>
      <c r="E58" s="322"/>
      <c r="F58" s="324"/>
      <c r="G58" s="322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4"/>
      <c r="Y58" s="325"/>
      <c r="Z58" s="325"/>
      <c r="AA58" s="325"/>
      <c r="AB58" s="325"/>
      <c r="AC58" s="325"/>
      <c r="AD58" s="325"/>
      <c r="AE58" s="325"/>
      <c r="AF58" s="325"/>
      <c r="AG58" s="325"/>
      <c r="AH58" s="325"/>
      <c r="AI58" s="325"/>
      <c r="AJ58" s="325"/>
      <c r="AK58" s="325"/>
      <c r="AL58" s="325"/>
      <c r="AM58" s="325"/>
      <c r="AN58" s="325"/>
      <c r="AO58" s="325"/>
      <c r="AP58" s="325"/>
      <c r="AQ58" s="325"/>
      <c r="AR58" s="325"/>
    </row>
    <row r="59" spans="1:44" ht="14" x14ac:dyDescent="0.15">
      <c r="A59" s="36" t="s">
        <v>750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9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</row>
    <row r="60" spans="1:44" ht="14" x14ac:dyDescent="0.15">
      <c r="A60" s="40" t="s">
        <v>197</v>
      </c>
      <c r="B60" s="38"/>
      <c r="C60" s="47">
        <v>5000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</row>
    <row r="61" spans="1:44" ht="14" x14ac:dyDescent="0.15">
      <c r="A61" s="40" t="s">
        <v>85</v>
      </c>
      <c r="B61" s="38"/>
      <c r="C61" s="48">
        <v>0.3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41"/>
      <c r="Y61" s="325"/>
      <c r="Z61" s="325"/>
      <c r="AA61" s="325"/>
      <c r="AB61" s="325"/>
      <c r="AC61" s="325"/>
      <c r="AD61" s="325"/>
      <c r="AE61" s="325"/>
      <c r="AF61" s="325"/>
      <c r="AG61" s="325"/>
      <c r="AH61" s="325"/>
      <c r="AI61" s="325"/>
      <c r="AJ61" s="325"/>
      <c r="AK61" s="325"/>
      <c r="AL61" s="325"/>
      <c r="AM61" s="325"/>
      <c r="AN61" s="325"/>
      <c r="AO61" s="325"/>
      <c r="AP61" s="325"/>
      <c r="AQ61" s="325"/>
      <c r="AR61" s="325"/>
    </row>
    <row r="62" spans="1:44" ht="14" x14ac:dyDescent="0.15">
      <c r="A62" s="40" t="s">
        <v>753</v>
      </c>
      <c r="B62" s="38"/>
      <c r="C62" s="48">
        <v>0.4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41"/>
      <c r="Y62" s="322"/>
      <c r="Z62" s="322"/>
      <c r="AA62" s="322"/>
      <c r="AB62" s="322"/>
      <c r="AC62" s="322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2"/>
      <c r="AO62" s="322"/>
      <c r="AP62" s="322"/>
      <c r="AQ62" s="322"/>
      <c r="AR62" s="322"/>
    </row>
    <row r="63" spans="1:44" ht="14" x14ac:dyDescent="0.15">
      <c r="A63" s="40" t="s">
        <v>172</v>
      </c>
      <c r="B63" s="38"/>
      <c r="C63" s="48">
        <v>0.3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41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2"/>
      <c r="AO63" s="322"/>
      <c r="AP63" s="322"/>
      <c r="AQ63" s="322"/>
      <c r="AR63" s="322"/>
    </row>
    <row r="64" spans="1:44" ht="14" x14ac:dyDescent="0.15">
      <c r="A64" s="40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41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</row>
    <row r="65" spans="1:44" ht="75" x14ac:dyDescent="0.15">
      <c r="A65" s="317" t="s">
        <v>216</v>
      </c>
      <c r="B65" s="272" t="s">
        <v>198</v>
      </c>
      <c r="C65" s="274" t="s">
        <v>199</v>
      </c>
      <c r="D65" s="274" t="s">
        <v>200</v>
      </c>
      <c r="E65" s="274" t="s">
        <v>201</v>
      </c>
      <c r="F65" s="274" t="s">
        <v>164</v>
      </c>
      <c r="G65" s="274" t="s">
        <v>754</v>
      </c>
      <c r="H65" s="274" t="s">
        <v>173</v>
      </c>
      <c r="I65" s="274" t="s">
        <v>165</v>
      </c>
      <c r="J65" s="275" t="s">
        <v>544</v>
      </c>
      <c r="K65" s="276" t="s">
        <v>166</v>
      </c>
      <c r="L65" s="277" t="s">
        <v>545</v>
      </c>
      <c r="M65" s="278" t="s">
        <v>167</v>
      </c>
      <c r="N65" s="278" t="s">
        <v>168</v>
      </c>
      <c r="O65" s="278" t="s">
        <v>169</v>
      </c>
      <c r="P65" s="278" t="s">
        <v>170</v>
      </c>
      <c r="Q65" s="279" t="s">
        <v>541</v>
      </c>
      <c r="R65" s="279" t="s">
        <v>542</v>
      </c>
      <c r="S65" s="280" t="s">
        <v>546</v>
      </c>
      <c r="T65" s="280" t="s">
        <v>547</v>
      </c>
      <c r="U65" s="281" t="s">
        <v>227</v>
      </c>
      <c r="V65" s="281" t="s">
        <v>272</v>
      </c>
      <c r="W65" s="278" t="s">
        <v>82</v>
      </c>
      <c r="X65" s="282" t="s">
        <v>83</v>
      </c>
      <c r="Y65" s="325"/>
      <c r="Z65" s="325"/>
      <c r="AA65" s="325"/>
      <c r="AB65" s="325"/>
      <c r="AC65" s="325"/>
      <c r="AD65" s="325"/>
      <c r="AE65" s="325"/>
      <c r="AF65" s="325"/>
      <c r="AG65" s="325"/>
      <c r="AH65" s="325"/>
      <c r="AI65" s="325"/>
      <c r="AJ65" s="325"/>
      <c r="AK65" s="325"/>
      <c r="AL65" s="325"/>
      <c r="AM65" s="325"/>
      <c r="AN65" s="325"/>
      <c r="AO65" s="325"/>
      <c r="AP65" s="325"/>
      <c r="AQ65" s="325"/>
      <c r="AR65" s="325"/>
    </row>
    <row r="66" spans="1:44" ht="14" x14ac:dyDescent="0.15">
      <c r="A66" s="70" t="str">
        <f>'SA Oct 2021'!K43</f>
        <v>AGL</v>
      </c>
      <c r="B66" s="49" t="str">
        <f>'SA Oct 2021'!L43</f>
        <v>Flexible Saver</v>
      </c>
      <c r="C66" s="46">
        <f>IF('SA Oct 2021'!BP43=0,91*'SA Oct 2021'!M43/100,(91*'SA Oct 2021'!M43/100)+'SA Oct 2021'!BP43/4)</f>
        <v>101.30781818181816</v>
      </c>
      <c r="D66" s="46">
        <f>IF('SA Oct 2021'!O43="",$C$60*$C$61*'SA Oct 2021'!N43/100,IF($C$60*$C$61&gt;='SA Oct 2021'!P43,('SA Oct 2021'!P43*'SA Oct 2021'!N43/100),($C$60*$C$61*'SA Oct 2021'!N43/100)))</f>
        <v>564.27272727272725</v>
      </c>
      <c r="E66" s="46">
        <f>IF(AND('SA Oct 2021'!P43&gt;0,'SA Oct 2021'!R43&gt;0),IF($C$60*$C$61&lt;'SA Oct 2021'!P43,0,IF($C$60*$C$61&lt;=('SA Oct 2021'!R43+'SA Oct 2021'!P43),(($C$60*$C$61-'SA Oct 2021'!P43)*'SA Oct 2021'!Q43/100),(('SA Oct 2021'!R43)*'SA Oct 2021'!Q43/100))),0)</f>
        <v>0</v>
      </c>
      <c r="F66" s="50">
        <f>IF(AND('SA Oct 2021'!R43&gt;0,'SA Oct 2021'!T43&gt;0),IF(($C$60*$C$61&lt;'SA Oct 2021'!T43),(0),($C$60*$C$61-'SA Oct 2021'!T43)*'SA Oct 2021'!U43/100),IF(AND('SA Oct 2021'!R43&gt;0,'SA Oct 2021'!T43=""),IF(($C$60*$C$61&lt;'SA Oct 2021'!R43+'SA Oct 2021'!P43),(0),(($C$60*$C$61-('SA Oct 2021'!R43+'SA Oct 2021'!P43))*'SA Oct 2021'!S43/100)),IF(AND('SA Oct 2021'!P43&gt;0,'SA Oct 2021'!R43=""&gt;0),IF(($C$60*$C$61&lt;'SA Oct 2021'!P43),(0),($C$60*$C$61-'SA Oct 2021'!P43)*'SA Oct 2021'!Q43/100),0)))</f>
        <v>0</v>
      </c>
      <c r="G66" s="328">
        <f>($C$60*$C$62)*'SA Oct 2021'!AI43/100</f>
        <v>621.4545454545455</v>
      </c>
      <c r="H66" s="51">
        <f>($C$60*$C$63)*'SA Oct 2021'!W43/100</f>
        <v>376.09090909090907</v>
      </c>
      <c r="I66" s="52">
        <f t="shared" ref="I66:I76" si="46">SUM(C66:H66)</f>
        <v>1663.126</v>
      </c>
      <c r="J66" s="109">
        <f t="shared" ref="J66:J76" si="47">(I66-C66)*4</f>
        <v>6247.272727272727</v>
      </c>
      <c r="K66" s="109">
        <f t="shared" ref="K66:K76" si="48">I66*4</f>
        <v>6652.5039999999999</v>
      </c>
      <c r="L66" s="53">
        <f t="shared" ref="L66:L76" si="49">K66*1.1</f>
        <v>7317.7544000000007</v>
      </c>
      <c r="M66" s="54">
        <f>'SA Oct 2021'!BB43</f>
        <v>0</v>
      </c>
      <c r="N66" s="54">
        <f>'SA Oct 2021'!BC43</f>
        <v>0</v>
      </c>
      <c r="O66" s="54">
        <f>'SA Oct 2021'!BD43</f>
        <v>0</v>
      </c>
      <c r="P66" s="54">
        <f>'SA Oct 2021'!BE43</f>
        <v>0</v>
      </c>
      <c r="Q66" s="110" t="str">
        <f t="shared" ref="Q66:Q70" si="50">IF(SUM(M66:P66)=0,"No discount",IF(M66&gt;0,"Guaranteed off bill",IF(N66&gt;0,"Guaranteed off usage",IF(O66&gt;0,"Pay-on-time off bill","Pay-on-time off usage"))))</f>
        <v>No discount</v>
      </c>
      <c r="R66" s="73" t="str">
        <f t="shared" ref="R66:R76" si="51">IF(OR(A66="Origin Energy",A66="Red Energy",A66="Powershop"),"Inclusive","Exclusive")</f>
        <v>Exclusive</v>
      </c>
      <c r="S66" s="111">
        <f>IF(AND(Q66="Guaranteed off bill",R66="Inclusive"),((K66*1.1)-((K66*1.1)*M66/100))/1.1,IF(AND(Q66="Guaranteed off usage",R66="Inclusive"),((K66*1.1)-((J66*1.1)*N66/100))/1.1,IF(AND(Q66="Guaranteed off bill",R66="Exclusive"),K66-(K66*M66/100),IF(AND(Q66="Guaranteed off usage",R66="Exclusive"),K66-(J66*N66/100),IF(R66="Inclusive",((K66*1.1))/1.1,K66)))))</f>
        <v>6652.5039999999999</v>
      </c>
      <c r="T66" s="112">
        <f>IF(AND(Q66="Pay-on-time off bill",R66="Inclusive"),((S66*1.1)-((S66*1.1)*O66/100))/1.1,IF(AND(Q66="Pay-on-time off usage",R66="Inclusive"),((S66*1.1)-((J66*1.1)*P66/100))/1.1,IF(AND(Q66="Pay-on-time off bill",R66="Exclusive"),S66-(S66*O66/100),IF(AND(Q66="Pay-on-time off usage",R66="Exclusive"),S66-(J66*P66/100),IF(R66="Inclusive",((S66*1.1))/1.1,S66)))))</f>
        <v>6652.5039999999999</v>
      </c>
      <c r="U66" s="97">
        <f>S66*1.1</f>
        <v>7317.7544000000007</v>
      </c>
      <c r="V66" s="98">
        <f>T66*1.1</f>
        <v>7317.7544000000007</v>
      </c>
      <c r="W66" s="55">
        <f>'SA Oct 2021'!BL43</f>
        <v>0</v>
      </c>
      <c r="X66" s="56" t="str">
        <f>'SA Oct 2021'!BM43</f>
        <v>n</v>
      </c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22"/>
      <c r="AP66" s="322"/>
      <c r="AQ66" s="322"/>
      <c r="AR66" s="322"/>
    </row>
    <row r="67" spans="1:44" ht="14" x14ac:dyDescent="0.15">
      <c r="A67" s="70" t="str">
        <f>'SA Oct 2021'!K44</f>
        <v>Alinta Energy</v>
      </c>
      <c r="B67" s="49" t="str">
        <f>'SA Oct 2021'!L44</f>
        <v>Business Deal</v>
      </c>
      <c r="C67" s="46">
        <f>IF('SA Oct 2021'!BP44=0,91*'SA Oct 2021'!M44/100,(91*'SA Oct 2021'!M44/100)+'SA Oct 2021'!BP44/4)</f>
        <v>61.681454545454542</v>
      </c>
      <c r="D67" s="46">
        <f>IF('SA Oct 2021'!O44="",$C$60*$C$61*'SA Oct 2021'!N44/100,IF($C$60*$C$61&gt;='SA Oct 2021'!P44,('SA Oct 2021'!P44*'SA Oct 2021'!N44/100),($C$60*$C$61*'SA Oct 2021'!N44/100)))</f>
        <v>436.22727272727263</v>
      </c>
      <c r="E67" s="46">
        <f>IF(AND('SA Oct 2021'!P44&gt;0,'SA Oct 2021'!R44&gt;0),IF($C$60*$C$61&lt;'SA Oct 2021'!P44,0,IF($C$60*$C$61&lt;=('SA Oct 2021'!R44+'SA Oct 2021'!P44),(($C$60*$C$61-'SA Oct 2021'!P44)*'SA Oct 2021'!Q44/100),(('SA Oct 2021'!R44)*'SA Oct 2021'!Q44/100))),0)</f>
        <v>0</v>
      </c>
      <c r="F67" s="50">
        <f>IF(AND('SA Oct 2021'!R44&gt;0,'SA Oct 2021'!T44&gt;0),IF(($C$60*$C$61&lt;'SA Oct 2021'!T44),(0),($C$60*$C$61-'SA Oct 2021'!T44)*'SA Oct 2021'!U44/100),IF(AND('SA Oct 2021'!R44&gt;0,'SA Oct 2021'!T44=""),IF(($C$60*$C$61&lt;'SA Oct 2021'!R44+'SA Oct 2021'!P44),(0),(($C$60*$C$61-('SA Oct 2021'!R44+'SA Oct 2021'!P44))*'SA Oct 2021'!S44/100)),IF(AND('SA Oct 2021'!P44&gt;0,'SA Oct 2021'!R44=""&gt;0),IF(($C$60*$C$61&lt;'SA Oct 2021'!P44),(0),($C$60*$C$61-'SA Oct 2021'!P44)*'SA Oct 2021'!Q44/100),0)))</f>
        <v>0</v>
      </c>
      <c r="G67" s="328">
        <f>($C$60*$C$62)*'SA Oct 2021'!AI44/100</f>
        <v>527.81818181818187</v>
      </c>
      <c r="H67" s="51">
        <f>($C$60*$C$63)*'SA Oct 2021'!W44/100</f>
        <v>272.59090909090901</v>
      </c>
      <c r="I67" s="52">
        <f t="shared" si="46"/>
        <v>1298.317818181818</v>
      </c>
      <c r="J67" s="109">
        <f t="shared" si="47"/>
        <v>4946.545454545454</v>
      </c>
      <c r="K67" s="109">
        <f t="shared" si="48"/>
        <v>5193.2712727272719</v>
      </c>
      <c r="L67" s="53">
        <f t="shared" si="49"/>
        <v>5712.5983999999999</v>
      </c>
      <c r="M67" s="54">
        <f>'SA Oct 2021'!BB44</f>
        <v>0</v>
      </c>
      <c r="N67" s="54">
        <f>'SA Oct 2021'!BC44</f>
        <v>0</v>
      </c>
      <c r="O67" s="54">
        <f>'SA Oct 2021'!BD44</f>
        <v>0</v>
      </c>
      <c r="P67" s="54">
        <f>'SA Oct 2021'!BE44</f>
        <v>0</v>
      </c>
      <c r="Q67" s="110" t="str">
        <f t="shared" si="50"/>
        <v>No discount</v>
      </c>
      <c r="R67" s="73" t="str">
        <f t="shared" si="51"/>
        <v>Exclusive</v>
      </c>
      <c r="S67" s="111">
        <f>IF(AND(Q67="Guaranteed off bill",R67="Inclusive"),((K67*1.1)-((K67*1.1)*M67/100))/1.1,IF(AND(Q67="Guaranteed off usage",R67="Inclusive"),((K67*1.1)-((J67*1.1)*N67/100))/1.1,IF(AND(Q67="Guaranteed off bill",R67="Exclusive"),K67-(K67*M67/100),IF(AND(Q67="Guaranteed off usage",R67="Exclusive"),K67-(J67*N67/100),IF(R67="Inclusive",((K67*1.1))/1.1,K67)))))</f>
        <v>5193.2712727272719</v>
      </c>
      <c r="T67" s="112">
        <f>IF(AND(Q67="Pay-on-time off bill",R67="Inclusive"),((S67*1.1)-((S67*1.1)*O67/100))/1.1,IF(AND(Q67="Pay-on-time off usage",R67="Inclusive"),((S67*1.1)-((J67*1.1)*P67/100))/1.1,IF(AND(Q67="Pay-on-time off bill",R67="Exclusive"),S67-(S67*O67/100),IF(AND(Q67="Pay-on-time off usage",R67="Exclusive"),S67-(J67*P67/100),IF(R67="Inclusive",((S67*1.1))/1.1,S67)))))</f>
        <v>5193.2712727272719</v>
      </c>
      <c r="U67" s="97">
        <f t="shared" ref="U67:V76" si="52">S67*1.1</f>
        <v>5712.5983999999999</v>
      </c>
      <c r="V67" s="98">
        <f t="shared" si="52"/>
        <v>5712.5983999999999</v>
      </c>
      <c r="W67" s="55">
        <f>'SA Oct 2021'!BL44</f>
        <v>0</v>
      </c>
      <c r="X67" s="56" t="str">
        <f>'SA Oct 2021'!BM44</f>
        <v>n</v>
      </c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</row>
    <row r="68" spans="1:44" ht="14" x14ac:dyDescent="0.15">
      <c r="A68" s="70" t="str">
        <f>'SA Oct 2021'!K45</f>
        <v>Diamond Energy</v>
      </c>
      <c r="B68" s="49" t="str">
        <f>'SA Oct 2021'!L45</f>
        <v>Renewable Saver POT</v>
      </c>
      <c r="C68" s="46">
        <f>IF('SA Oct 2021'!BP45=0,91*'SA Oct 2021'!M45/100,(91*'SA Oct 2021'!M45/100)+'SA Oct 2021'!BP45/4)</f>
        <v>91.827272727272714</v>
      </c>
      <c r="D68" s="46">
        <f>IF('SA Oct 2021'!O45="",$C$60*$C$61*'SA Oct 2021'!N45/100,IF($C$60*$C$61&gt;='SA Oct 2021'!P45,('SA Oct 2021'!P45*'SA Oct 2021'!N45/100),($C$60*$C$61*'SA Oct 2021'!N45/100)))</f>
        <v>749.99999999999989</v>
      </c>
      <c r="E68" s="46">
        <f>IF(AND('SA Oct 2021'!P45&gt;0,'SA Oct 2021'!R45&gt;0),IF($C$60*$C$61&lt;'SA Oct 2021'!P45,0,IF($C$60*$C$61&lt;=('SA Oct 2021'!R45+'SA Oct 2021'!P45),(($C$60*$C$61-'SA Oct 2021'!P45)*'SA Oct 2021'!Q45/100),(('SA Oct 2021'!R45)*'SA Oct 2021'!Q45/100))),0)</f>
        <v>0</v>
      </c>
      <c r="F68" s="50">
        <f>IF(AND('SA Oct 2021'!R45&gt;0,'SA Oct 2021'!T45&gt;0),IF(($C$60*$C$61&lt;'SA Oct 2021'!T45),(0),($C$60*$C$61-'SA Oct 2021'!T45)*'SA Oct 2021'!U45/100),IF(AND('SA Oct 2021'!R45&gt;0,'SA Oct 2021'!T45=""),IF(($C$60*$C$61&lt;'SA Oct 2021'!R45+'SA Oct 2021'!P45),(0),(($C$60*$C$61-('SA Oct 2021'!R45+'SA Oct 2021'!P45))*'SA Oct 2021'!S45/100)),IF(AND('SA Oct 2021'!P45&gt;0,'SA Oct 2021'!R45=""&gt;0),IF(($C$60*$C$61&lt;'SA Oct 2021'!P45),(0),($C$60*$C$61-'SA Oct 2021'!P45)*'SA Oct 2021'!Q45/100),0)))</f>
        <v>0</v>
      </c>
      <c r="G68" s="328">
        <f>($C$60*$C$62)*'SA Oct 2021'!AI45/100</f>
        <v>725.45454545454527</v>
      </c>
      <c r="H68" s="51">
        <f>($C$60*$C$63)*'SA Oct 2021'!W45/100</f>
        <v>436.36363636363632</v>
      </c>
      <c r="I68" s="52">
        <f t="shared" si="46"/>
        <v>2003.6454545454542</v>
      </c>
      <c r="J68" s="109">
        <f t="shared" si="47"/>
        <v>7647.2727272727261</v>
      </c>
      <c r="K68" s="109">
        <f t="shared" si="48"/>
        <v>8014.5818181818167</v>
      </c>
      <c r="L68" s="53">
        <f t="shared" si="49"/>
        <v>8816.0399999999991</v>
      </c>
      <c r="M68" s="54">
        <f>'SA Oct 2021'!BB45</f>
        <v>0</v>
      </c>
      <c r="N68" s="54">
        <f>'SA Oct 2021'!BC45</f>
        <v>0</v>
      </c>
      <c r="O68" s="54">
        <f>'SA Oct 2021'!BD45</f>
        <v>7</v>
      </c>
      <c r="P68" s="54">
        <f>'SA Oct 2021'!BE45</f>
        <v>0</v>
      </c>
      <c r="Q68" s="110" t="str">
        <f t="shared" si="50"/>
        <v>Pay-on-time off bill</v>
      </c>
      <c r="R68" s="73" t="str">
        <f t="shared" si="51"/>
        <v>Exclusive</v>
      </c>
      <c r="S68" s="111">
        <f t="shared" ref="S68:S76" si="53">IF(AND(Q68="Guaranteed off bill",R68="Inclusive"),((K68*1.1)-((K68*1.1)*M68/100))/1.1,IF(AND(Q68="Guaranteed off usage",R68="Inclusive"),((K68*1.1)-((J68*1.1)*N68/100))/1.1,IF(AND(Q68="Guaranteed off bill",R68="Exclusive"),K68-(K68*M68/100),IF(AND(Q68="Guaranteed off usage",R68="Exclusive"),K68-(J68*N68/100),IF(R68="Inclusive",((K68*1.1))/1.1,K68)))))</f>
        <v>8014.5818181818167</v>
      </c>
      <c r="T68" s="112">
        <f t="shared" ref="T68:T76" si="54">IF(AND(Q68="Pay-on-time off bill",R68="Inclusive"),((S68*1.1)-((S68*1.1)*O68/100))/1.1,IF(AND(Q68="Pay-on-time off usage",R68="Inclusive"),((S68*1.1)-((J68*1.1)*P68/100))/1.1,IF(AND(Q68="Pay-on-time off bill",R68="Exclusive"),S68-(S68*O68/100),IF(AND(Q68="Pay-on-time off usage",R68="Exclusive"),S68-(J68*P68/100),IF(R68="Inclusive",((S68*1.1))/1.1,S68)))))</f>
        <v>7453.5610909090892</v>
      </c>
      <c r="U68" s="97">
        <f t="shared" si="52"/>
        <v>8816.0399999999991</v>
      </c>
      <c r="V68" s="98">
        <f t="shared" si="52"/>
        <v>8198.917199999998</v>
      </c>
      <c r="W68" s="55">
        <f>'SA Oct 2021'!BL45</f>
        <v>0</v>
      </c>
      <c r="X68" s="56" t="str">
        <f>'SA Oct 2021'!BM45</f>
        <v>n</v>
      </c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</row>
    <row r="69" spans="1:44" ht="14" x14ac:dyDescent="0.15">
      <c r="A69" s="70" t="str">
        <f>'SA Oct 2021'!K46</f>
        <v>EnergyAustralia</v>
      </c>
      <c r="B69" s="49" t="str">
        <f>'SA Oct 2021'!L46</f>
        <v>Total Plan</v>
      </c>
      <c r="C69" s="46">
        <f>IF('SA Oct 2021'!BP46=0,91*'SA Oct 2021'!M46/100,(91*'SA Oct 2021'!M46/100)+'SA Oct 2021'!BP46/4)</f>
        <v>92.82</v>
      </c>
      <c r="D69" s="46">
        <f>IF('SA Oct 2021'!O46="",$C$60*$C$61*'SA Oct 2021'!N46/100,IF($C$60*$C$61&gt;='SA Oct 2021'!P46,('SA Oct 2021'!P46*'SA Oct 2021'!N46/100),($C$60*$C$61*'SA Oct 2021'!N46/100)))</f>
        <v>786</v>
      </c>
      <c r="E69" s="46">
        <f>IF(AND('SA Oct 2021'!P46&gt;0,'SA Oct 2021'!R46&gt;0),IF($C$60*$C$61&lt;'SA Oct 2021'!P46,0,IF($C$60*$C$61&lt;=('SA Oct 2021'!R46+'SA Oct 2021'!P46),(($C$60*$C$61-'SA Oct 2021'!P46)*'SA Oct 2021'!Q46/100),(('SA Oct 2021'!R46)*'SA Oct 2021'!Q46/100))),0)</f>
        <v>0</v>
      </c>
      <c r="F69" s="50">
        <f>IF(AND('SA Oct 2021'!R46&gt;0,'SA Oct 2021'!T46&gt;0),IF(($C$60*$C$61&lt;'SA Oct 2021'!T46),(0),($C$60*$C$61-'SA Oct 2021'!T46)*'SA Oct 2021'!U46/100),IF(AND('SA Oct 2021'!R46&gt;0,'SA Oct 2021'!T46=""),IF(($C$60*$C$61&lt;'SA Oct 2021'!R46+'SA Oct 2021'!P46),(0),(($C$60*$C$61-('SA Oct 2021'!R46+'SA Oct 2021'!P46))*'SA Oct 2021'!S46/100)),IF(AND('SA Oct 2021'!P46&gt;0,'SA Oct 2021'!R46=""&gt;0),IF(($C$60*$C$61&lt;'SA Oct 2021'!P46),(0),($C$60*$C$61-'SA Oct 2021'!P46)*'SA Oct 2021'!Q46/100),0)))</f>
        <v>0</v>
      </c>
      <c r="G69" s="328">
        <f>($C$60*$C$62)*'SA Oct 2021'!AI46/100</f>
        <v>539.63636363636363</v>
      </c>
      <c r="H69" s="51">
        <f>($C$60*$C$63)*'SA Oct 2021'!W46/100</f>
        <v>485.31818181818176</v>
      </c>
      <c r="I69" s="52">
        <f t="shared" si="46"/>
        <v>1903.7745454545454</v>
      </c>
      <c r="J69" s="109">
        <f t="shared" si="47"/>
        <v>7243.818181818182</v>
      </c>
      <c r="K69" s="109">
        <f t="shared" si="48"/>
        <v>7615.0981818181817</v>
      </c>
      <c r="L69" s="53">
        <f t="shared" si="49"/>
        <v>8376.6080000000002</v>
      </c>
      <c r="M69" s="54">
        <f>'SA Oct 2021'!BB46</f>
        <v>3</v>
      </c>
      <c r="N69" s="54">
        <f>'SA Oct 2021'!BC46</f>
        <v>0</v>
      </c>
      <c r="O69" s="54">
        <f>'SA Oct 2021'!BD46</f>
        <v>0</v>
      </c>
      <c r="P69" s="54">
        <f>'SA Oct 2021'!BE46</f>
        <v>0</v>
      </c>
      <c r="Q69" s="110" t="str">
        <f t="shared" si="50"/>
        <v>Guaranteed off bill</v>
      </c>
      <c r="R69" s="73" t="str">
        <f t="shared" si="51"/>
        <v>Exclusive</v>
      </c>
      <c r="S69" s="111">
        <f t="shared" si="53"/>
        <v>7386.6452363636363</v>
      </c>
      <c r="T69" s="112">
        <f t="shared" si="54"/>
        <v>7386.6452363636363</v>
      </c>
      <c r="U69" s="97">
        <f t="shared" si="52"/>
        <v>8125.309760000001</v>
      </c>
      <c r="V69" s="98">
        <f t="shared" si="52"/>
        <v>8125.309760000001</v>
      </c>
      <c r="W69" s="55">
        <f>'SA Oct 2021'!BL46</f>
        <v>0</v>
      </c>
      <c r="X69" s="56" t="str">
        <f>'SA Oct 2021'!BM46</f>
        <v>n</v>
      </c>
      <c r="Y69" s="325"/>
      <c r="Z69" s="325"/>
      <c r="AA69" s="325"/>
      <c r="AB69" s="325"/>
      <c r="AC69" s="325"/>
      <c r="AD69" s="325"/>
      <c r="AE69" s="325"/>
      <c r="AF69" s="325"/>
      <c r="AG69" s="325"/>
      <c r="AH69" s="325"/>
      <c r="AI69" s="325"/>
      <c r="AJ69" s="325"/>
      <c r="AK69" s="325"/>
      <c r="AL69" s="325"/>
      <c r="AM69" s="325"/>
      <c r="AN69" s="325"/>
      <c r="AO69" s="325"/>
      <c r="AP69" s="325"/>
      <c r="AQ69" s="325"/>
      <c r="AR69" s="325"/>
    </row>
    <row r="70" spans="1:44" ht="14" x14ac:dyDescent="0.15">
      <c r="A70" s="70" t="str">
        <f>'SA Oct 2021'!K47</f>
        <v>Momentum Energy</v>
      </c>
      <c r="B70" s="49" t="str">
        <f>'SA Oct 2021'!L47</f>
        <v>SmilePower Flexi</v>
      </c>
      <c r="C70" s="46">
        <f>IF('SA Oct 2021'!BP47=0,91*'SA Oct 2021'!M47/100,(91*'SA Oct 2021'!M47/100)+'SA Oct 2021'!BP47/4)</f>
        <v>101.9530909090909</v>
      </c>
      <c r="D70" s="46">
        <f>IF('SA Oct 2021'!O47="",$C$60*$C$61*'SA Oct 2021'!N47/100,IF($C$60*$C$61&gt;='SA Oct 2021'!P47,('SA Oct 2021'!P47*'SA Oct 2021'!N47/100),($C$60*$C$61*'SA Oct 2021'!N47/100)))</f>
        <v>809.99999999999989</v>
      </c>
      <c r="E70" s="46">
        <f>IF(AND('SA Oct 2021'!P47&gt;0,'SA Oct 2021'!R47&gt;0),IF($C$60*$C$61&lt;'SA Oct 2021'!P47,0,IF($C$60*$C$61&lt;=('SA Oct 2021'!R47+'SA Oct 2021'!P47),(($C$60*$C$61-'SA Oct 2021'!P47)*'SA Oct 2021'!Q47/100),(('SA Oct 2021'!R47)*'SA Oct 2021'!Q47/100))),0)</f>
        <v>0</v>
      </c>
      <c r="F70" s="50">
        <f>IF(AND('SA Oct 2021'!R47&gt;0,'SA Oct 2021'!T47&gt;0),IF(($C$60*$C$61&lt;'SA Oct 2021'!T47),(0),($C$60*$C$61-'SA Oct 2021'!T47)*'SA Oct 2021'!U47/100),IF(AND('SA Oct 2021'!R47&gt;0,'SA Oct 2021'!T47=""),IF(($C$60*$C$61&lt;'SA Oct 2021'!R47+'SA Oct 2021'!P47),(0),(($C$60*$C$61-('SA Oct 2021'!R47+'SA Oct 2021'!P47))*'SA Oct 2021'!S47/100)),IF(AND('SA Oct 2021'!P47&gt;0,'SA Oct 2021'!R47=""&gt;0),IF(($C$60*$C$61&lt;'SA Oct 2021'!P47),(0),($C$60*$C$61-'SA Oct 2021'!P47)*'SA Oct 2021'!Q47/100),0)))</f>
        <v>0</v>
      </c>
      <c r="G70" s="328">
        <f>($C$60*$C$62)*'SA Oct 2021'!AI47/100</f>
        <v>629.99999999999989</v>
      </c>
      <c r="H70" s="51">
        <f>($C$60*$C$63)*'SA Oct 2021'!W47/100</f>
        <v>370.5</v>
      </c>
      <c r="I70" s="52">
        <f t="shared" si="46"/>
        <v>1912.4530909090906</v>
      </c>
      <c r="J70" s="109">
        <f t="shared" si="47"/>
        <v>7241.9999999999991</v>
      </c>
      <c r="K70" s="109">
        <f t="shared" si="48"/>
        <v>7649.8123636363625</v>
      </c>
      <c r="L70" s="53">
        <f t="shared" si="49"/>
        <v>8414.7935999999991</v>
      </c>
      <c r="M70" s="54">
        <f>'SA Oct 2021'!BB47</f>
        <v>0</v>
      </c>
      <c r="N70" s="54">
        <f>'SA Oct 2021'!BC47</f>
        <v>0</v>
      </c>
      <c r="O70" s="54">
        <f>'SA Oct 2021'!BD47</f>
        <v>0</v>
      </c>
      <c r="P70" s="54">
        <f>'SA Oct 2021'!BE47</f>
        <v>0</v>
      </c>
      <c r="Q70" s="110" t="str">
        <f t="shared" si="50"/>
        <v>No discount</v>
      </c>
      <c r="R70" s="73" t="str">
        <f t="shared" si="51"/>
        <v>Exclusive</v>
      </c>
      <c r="S70" s="111">
        <f t="shared" si="53"/>
        <v>7649.8123636363625</v>
      </c>
      <c r="T70" s="112">
        <f t="shared" si="54"/>
        <v>7649.8123636363625</v>
      </c>
      <c r="U70" s="97">
        <f t="shared" si="52"/>
        <v>8414.7935999999991</v>
      </c>
      <c r="V70" s="98">
        <f t="shared" si="52"/>
        <v>8414.7935999999991</v>
      </c>
      <c r="W70" s="55">
        <f>'SA Oct 2021'!BL47</f>
        <v>0</v>
      </c>
      <c r="X70" s="56" t="str">
        <f>'SA Oct 2021'!BM47</f>
        <v>n</v>
      </c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  <c r="AR70" s="322"/>
    </row>
    <row r="71" spans="1:44" ht="14" x14ac:dyDescent="0.15">
      <c r="A71" s="70" t="str">
        <f>'SA Oct 2021'!K48</f>
        <v>Origin Energy</v>
      </c>
      <c r="B71" s="49" t="str">
        <f>'SA Oct 2021'!L48</f>
        <v>Go</v>
      </c>
      <c r="C71" s="46">
        <f>IF('SA Oct 2021'!BP48=0,91*'SA Oct 2021'!M48/100,(91*'SA Oct 2021'!M48/100)+'SA Oct 2021'!BP48/4)</f>
        <v>78.417181818181817</v>
      </c>
      <c r="D71" s="46">
        <f>IF('SA Oct 2021'!O48="",$C$60*$C$61*'SA Oct 2021'!N48/100,IF($C$60*$C$61&gt;='SA Oct 2021'!P48,('SA Oct 2021'!P48*'SA Oct 2021'!N48/100),($C$60*$C$61*'SA Oct 2021'!N48/100)))</f>
        <v>521.0454545454545</v>
      </c>
      <c r="E71" s="46">
        <f>IF(AND('SA Oct 2021'!P48&gt;0,'SA Oct 2021'!R48&gt;0),IF($C$60*$C$61&lt;'SA Oct 2021'!P48,0,IF($C$60*$C$61&lt;=('SA Oct 2021'!R48+'SA Oct 2021'!P48),(($C$60*$C$61-'SA Oct 2021'!P48)*'SA Oct 2021'!Q48/100),(('SA Oct 2021'!R48)*'SA Oct 2021'!Q48/100))),0)</f>
        <v>0</v>
      </c>
      <c r="F71" s="50">
        <f>IF(AND('SA Oct 2021'!R48&gt;0,'SA Oct 2021'!T48&gt;0),IF(($C$60*$C$61&lt;'SA Oct 2021'!T48),(0),($C$60*$C$61-'SA Oct 2021'!T48)*'SA Oct 2021'!U48/100),IF(AND('SA Oct 2021'!R48&gt;0,'SA Oct 2021'!T48=""),IF(($C$60*$C$61&lt;'SA Oct 2021'!R48+'SA Oct 2021'!P48),(0),(($C$60*$C$61-('SA Oct 2021'!R48+'SA Oct 2021'!P48))*'SA Oct 2021'!S48/100)),IF(AND('SA Oct 2021'!P48&gt;0,'SA Oct 2021'!R48=""&gt;0),IF(($C$60*$C$61&lt;'SA Oct 2021'!P48),(0),($C$60*$C$61-'SA Oct 2021'!P48)*'SA Oct 2021'!Q48/100),0)))</f>
        <v>0</v>
      </c>
      <c r="G71" s="328">
        <f>($C$60*$C$62)*'SA Oct 2021'!AI48/100</f>
        <v>579.63636363636351</v>
      </c>
      <c r="H71" s="51">
        <f>($C$60*$C$63)*'SA Oct 2021'!W48/100</f>
        <v>331.09090909090907</v>
      </c>
      <c r="I71" s="52">
        <f t="shared" si="46"/>
        <v>1510.1899090909087</v>
      </c>
      <c r="J71" s="109">
        <f t="shared" si="47"/>
        <v>5727.0909090909072</v>
      </c>
      <c r="K71" s="109">
        <f t="shared" si="48"/>
        <v>6040.7596363636349</v>
      </c>
      <c r="L71" s="53">
        <f t="shared" si="49"/>
        <v>6644.8355999999985</v>
      </c>
      <c r="M71" s="54">
        <f>'SA Oct 2021'!BB48</f>
        <v>0</v>
      </c>
      <c r="N71" s="54">
        <f>'SA Oct 2021'!BC48</f>
        <v>0</v>
      </c>
      <c r="O71" s="54">
        <f>'SA Oct 2021'!BD48</f>
        <v>0</v>
      </c>
      <c r="P71" s="54">
        <f>'SA Oct 2021'!BE48</f>
        <v>0</v>
      </c>
      <c r="Q71" s="110" t="str">
        <f t="shared" ref="Q71:Q74" si="55">IF(SUM(M71:P71)=0,"No discount",IF(M71&gt;0,"Guaranteed off bill",IF(N71&gt;0,"Guaranteed off usage",IF(O71&gt;0,"Pay-on-time off bill","Pay-on-time off usage"))))</f>
        <v>No discount</v>
      </c>
      <c r="R71" s="73" t="str">
        <f t="shared" si="51"/>
        <v>Inclusive</v>
      </c>
      <c r="S71" s="111">
        <f t="shared" si="53"/>
        <v>6040.7596363636349</v>
      </c>
      <c r="T71" s="112">
        <f t="shared" si="54"/>
        <v>6040.7596363636349</v>
      </c>
      <c r="U71" s="97">
        <f t="shared" si="52"/>
        <v>6644.8355999999985</v>
      </c>
      <c r="V71" s="98">
        <f t="shared" si="52"/>
        <v>6644.8355999999985</v>
      </c>
      <c r="W71" s="55">
        <f>'SA Oct 2021'!BL48</f>
        <v>0</v>
      </c>
      <c r="X71" s="56" t="str">
        <f>'SA Oct 2021'!BM48</f>
        <v>n</v>
      </c>
      <c r="Y71" s="325"/>
      <c r="Z71" s="325"/>
      <c r="AA71" s="325"/>
      <c r="AB71" s="325"/>
      <c r="AC71" s="325"/>
      <c r="AD71" s="325"/>
      <c r="AE71" s="325"/>
      <c r="AF71" s="325"/>
      <c r="AG71" s="325"/>
      <c r="AH71" s="325"/>
      <c r="AI71" s="325"/>
      <c r="AJ71" s="325"/>
      <c r="AK71" s="325"/>
      <c r="AL71" s="325"/>
      <c r="AM71" s="325"/>
      <c r="AN71" s="325"/>
      <c r="AO71" s="325"/>
      <c r="AP71" s="325"/>
      <c r="AQ71" s="325"/>
      <c r="AR71" s="325"/>
    </row>
    <row r="72" spans="1:44" ht="14" x14ac:dyDescent="0.15">
      <c r="A72" s="70" t="str">
        <f>'SA Oct 2021'!K49</f>
        <v>Powershop</v>
      </c>
      <c r="B72" s="49" t="str">
        <f>'SA Oct 2021'!L49</f>
        <v>Carbon Neutral - Rate Lock</v>
      </c>
      <c r="C72" s="46">
        <f>IF('SA Oct 2021'!BP49=0,91*'SA Oct 2021'!M49/100,(91*'SA Oct 2021'!M49/100)+'SA Oct 2021'!BP49/4)</f>
        <v>98.097999999999999</v>
      </c>
      <c r="D72" s="46">
        <f>IF('SA Oct 2021'!O49="",$C$60*$C$61*'SA Oct 2021'!N49/100,IF($C$60*$C$61&gt;='SA Oct 2021'!P49,('SA Oct 2021'!P49*'SA Oct 2021'!N49/100),($C$60*$C$61*'SA Oct 2021'!N49/100)))</f>
        <v>470.45454545454538</v>
      </c>
      <c r="E72" s="46">
        <f>IF(AND('SA Oct 2021'!P49&gt;0,'SA Oct 2021'!R49&gt;0),IF($C$60*$C$61&lt;'SA Oct 2021'!P49,0,IF($C$60*$C$61&lt;=('SA Oct 2021'!R49+'SA Oct 2021'!P49),(($C$60*$C$61-'SA Oct 2021'!P49)*'SA Oct 2021'!Q49/100),(('SA Oct 2021'!R49)*'SA Oct 2021'!Q49/100))),0)</f>
        <v>0</v>
      </c>
      <c r="F72" s="50">
        <f>IF(AND('SA Oct 2021'!R49&gt;0,'SA Oct 2021'!T49&gt;0),IF(($C$60*$C$61&lt;'SA Oct 2021'!T49),(0),($C$60*$C$61-'SA Oct 2021'!T49)*'SA Oct 2021'!U49/100),IF(AND('SA Oct 2021'!R49&gt;0,'SA Oct 2021'!T49=""),IF(($C$60*$C$61&lt;'SA Oct 2021'!R49+'SA Oct 2021'!P49),(0),(($C$60*$C$61-('SA Oct 2021'!R49+'SA Oct 2021'!P49))*'SA Oct 2021'!S49/100)),IF(AND('SA Oct 2021'!P49&gt;0,'SA Oct 2021'!R49=""&gt;0),IF(($C$60*$C$61&lt;'SA Oct 2021'!P49),(0),($C$60*$C$61-'SA Oct 2021'!P49)*'SA Oct 2021'!Q49/100),0)))</f>
        <v>0</v>
      </c>
      <c r="G72" s="328">
        <f>($C$60*$C$62)*'SA Oct 2021'!AI49/100</f>
        <v>480.18181818181819</v>
      </c>
      <c r="H72" s="51">
        <f>($C$60*$C$63)*'SA Oct 2021'!W49/100</f>
        <v>338.04545454545456</v>
      </c>
      <c r="I72" s="52">
        <f t="shared" si="46"/>
        <v>1386.779818181818</v>
      </c>
      <c r="J72" s="109">
        <f t="shared" si="47"/>
        <v>5154.7272727272721</v>
      </c>
      <c r="K72" s="109">
        <f t="shared" si="48"/>
        <v>5547.1192727272719</v>
      </c>
      <c r="L72" s="53">
        <f t="shared" si="49"/>
        <v>6101.8311999999996</v>
      </c>
      <c r="M72" s="54">
        <f>'SA Oct 2021'!BB49</f>
        <v>0</v>
      </c>
      <c r="N72" s="54">
        <f>'SA Oct 2021'!BC49</f>
        <v>0</v>
      </c>
      <c r="O72" s="54">
        <f>'SA Oct 2021'!BD49</f>
        <v>0</v>
      </c>
      <c r="P72" s="54">
        <f>'SA Oct 2021'!BE49</f>
        <v>0</v>
      </c>
      <c r="Q72" s="110" t="str">
        <f t="shared" si="55"/>
        <v>No discount</v>
      </c>
      <c r="R72" s="73" t="str">
        <f t="shared" si="51"/>
        <v>Inclusive</v>
      </c>
      <c r="S72" s="111">
        <f t="shared" si="53"/>
        <v>5547.1192727272719</v>
      </c>
      <c r="T72" s="112">
        <f t="shared" si="54"/>
        <v>5547.1192727272719</v>
      </c>
      <c r="U72" s="97">
        <f t="shared" si="52"/>
        <v>6101.8311999999996</v>
      </c>
      <c r="V72" s="98">
        <f t="shared" si="52"/>
        <v>6101.8311999999996</v>
      </c>
      <c r="W72" s="55">
        <f>'SA Oct 2021'!BL49</f>
        <v>0</v>
      </c>
      <c r="X72" s="56" t="str">
        <f>'SA Oct 2021'!BM49</f>
        <v>n</v>
      </c>
      <c r="Y72" s="322"/>
      <c r="Z72" s="325"/>
      <c r="AA72" s="322"/>
      <c r="AB72" s="325"/>
      <c r="AC72" s="322"/>
      <c r="AD72" s="325"/>
      <c r="AE72" s="322"/>
      <c r="AF72" s="325"/>
      <c r="AG72" s="322"/>
      <c r="AH72" s="325"/>
      <c r="AI72" s="322"/>
      <c r="AJ72" s="325"/>
      <c r="AK72" s="322"/>
      <c r="AL72" s="325"/>
      <c r="AM72" s="322"/>
      <c r="AN72" s="325"/>
      <c r="AO72" s="322"/>
      <c r="AP72" s="325"/>
      <c r="AQ72" s="322"/>
      <c r="AR72" s="325"/>
    </row>
    <row r="73" spans="1:44" ht="14" x14ac:dyDescent="0.15">
      <c r="A73" s="70" t="str">
        <f>'SA Oct 2021'!K50</f>
        <v>Energy Locals</v>
      </c>
      <c r="B73" s="49" t="str">
        <f>'SA Oct 2021'!L50</f>
        <v>Business Member</v>
      </c>
      <c r="C73" s="46">
        <f>IF('SA Oct 2021'!BP50=0,91*'SA Oct 2021'!M50/100,(91*'SA Oct 2021'!M50/100)+'SA Oct 2021'!BP50/4)</f>
        <v>104.59545454545454</v>
      </c>
      <c r="D73" s="46">
        <f>IF('SA Oct 2021'!O50="",$C$60*$C$61*'SA Oct 2021'!N50/100,IF($C$60*$C$61&gt;='SA Oct 2021'!P50,('SA Oct 2021'!P50*'SA Oct 2021'!N50/100),($C$60*$C$61*'SA Oct 2021'!N50/100)))</f>
        <v>504.5454545454545</v>
      </c>
      <c r="E73" s="46">
        <f>IF(AND('SA Oct 2021'!P50&gt;0,'SA Oct 2021'!R50&gt;0),IF($C$60*$C$61&lt;'SA Oct 2021'!P50,0,IF($C$60*$C$61&lt;=('SA Oct 2021'!R50+'SA Oct 2021'!P50),(($C$60*$C$61-'SA Oct 2021'!P50)*'SA Oct 2021'!Q50/100),(('SA Oct 2021'!R50)*'SA Oct 2021'!Q50/100))),0)</f>
        <v>0</v>
      </c>
      <c r="F73" s="50">
        <f>IF(AND('SA Oct 2021'!R50&gt;0,'SA Oct 2021'!T50&gt;0),IF(($C$60*$C$61&lt;'SA Oct 2021'!T50),(0),($C$60*$C$61-'SA Oct 2021'!T50)*'SA Oct 2021'!U50/100),IF(AND('SA Oct 2021'!R50&gt;0,'SA Oct 2021'!T50=""),IF(($C$60*$C$61&lt;'SA Oct 2021'!R50+'SA Oct 2021'!P50),(0),(($C$60*$C$61-('SA Oct 2021'!R50+'SA Oct 2021'!P50))*'SA Oct 2021'!S50/100)),IF(AND('SA Oct 2021'!P50&gt;0,'SA Oct 2021'!R50=""&gt;0),IF(($C$60*$C$61&lt;'SA Oct 2021'!P50),(0),($C$60*$C$61-'SA Oct 2021'!P50)*'SA Oct 2021'!Q50/100),0)))</f>
        <v>0</v>
      </c>
      <c r="G73" s="328">
        <f>($C$60*$C$62)*'SA Oct 2021'!AI50/100</f>
        <v>536.36363636363637</v>
      </c>
      <c r="H73" s="51">
        <f>($C$60*$C$63)*'SA Oct 2021'!W50/100</f>
        <v>286.36363636363637</v>
      </c>
      <c r="I73" s="52">
        <f t="shared" si="46"/>
        <v>1431.8681818181817</v>
      </c>
      <c r="J73" s="109">
        <f t="shared" si="47"/>
        <v>5309.090909090909</v>
      </c>
      <c r="K73" s="109">
        <f t="shared" si="48"/>
        <v>5727.4727272727268</v>
      </c>
      <c r="L73" s="53">
        <f t="shared" si="49"/>
        <v>6300.22</v>
      </c>
      <c r="M73" s="54">
        <f>'SA Oct 2021'!BB50</f>
        <v>0</v>
      </c>
      <c r="N73" s="54">
        <f>'SA Oct 2021'!BC50</f>
        <v>0</v>
      </c>
      <c r="O73" s="54">
        <f>'SA Oct 2021'!BD50</f>
        <v>0</v>
      </c>
      <c r="P73" s="54">
        <f>'SA Oct 2021'!BE50</f>
        <v>0</v>
      </c>
      <c r="Q73" s="110" t="str">
        <f t="shared" si="55"/>
        <v>No discount</v>
      </c>
      <c r="R73" s="73" t="str">
        <f t="shared" si="51"/>
        <v>Exclusive</v>
      </c>
      <c r="S73" s="111">
        <f t="shared" si="53"/>
        <v>5727.4727272727268</v>
      </c>
      <c r="T73" s="112">
        <f t="shared" si="54"/>
        <v>5727.4727272727268</v>
      </c>
      <c r="U73" s="97">
        <f t="shared" si="52"/>
        <v>6300.22</v>
      </c>
      <c r="V73" s="98">
        <f t="shared" si="52"/>
        <v>6300.22</v>
      </c>
      <c r="W73" s="55">
        <f>'SA Oct 2021'!BL50</f>
        <v>0</v>
      </c>
      <c r="X73" s="56" t="str">
        <f>'SA Oct 2021'!BM50</f>
        <v>n</v>
      </c>
      <c r="Y73" s="322"/>
      <c r="Z73" s="325"/>
      <c r="AA73" s="322"/>
      <c r="AB73" s="325"/>
      <c r="AC73" s="322"/>
      <c r="AD73" s="325"/>
      <c r="AE73" s="322"/>
      <c r="AF73" s="325"/>
      <c r="AG73" s="322"/>
      <c r="AH73" s="325"/>
      <c r="AI73" s="322"/>
      <c r="AJ73" s="325"/>
      <c r="AK73" s="322"/>
      <c r="AL73" s="325"/>
      <c r="AM73" s="322"/>
      <c r="AN73" s="325"/>
      <c r="AO73" s="322"/>
      <c r="AP73" s="325"/>
      <c r="AQ73" s="322"/>
      <c r="AR73" s="325"/>
    </row>
    <row r="74" spans="1:44" ht="14" x14ac:dyDescent="0.15">
      <c r="A74" s="70" t="str">
        <f>'SA Oct 2021'!K51</f>
        <v>Discover Energy</v>
      </c>
      <c r="B74" s="49" t="str">
        <f>'SA Oct 2021'!L51</f>
        <v>Business Smart Saver</v>
      </c>
      <c r="C74" s="46">
        <f>IF('SA Oct 2021'!BP51=0,91*'SA Oct 2021'!M51/100,(91*'SA Oct 2021'!M51/100)+'SA Oct 2021'!BP51/4)</f>
        <v>72.8</v>
      </c>
      <c r="D74" s="46">
        <f>IF('SA Oct 2021'!O51="",$C$60*$C$61*'SA Oct 2021'!N51/100,IF($C$60*$C$61&gt;='SA Oct 2021'!P51,('SA Oct 2021'!P51*'SA Oct 2021'!N51/100),($C$60*$C$61*'SA Oct 2021'!N51/100)))</f>
        <v>724.90909090909088</v>
      </c>
      <c r="E74" s="46">
        <f>IF(AND('SA Oct 2021'!P51&gt;0,'SA Oct 2021'!R51&gt;0),IF($C$60*$C$61&lt;'SA Oct 2021'!P51,0,IF($C$60*$C$61&lt;=('SA Oct 2021'!R51+'SA Oct 2021'!P51),(($C$60*$C$61-'SA Oct 2021'!P51)*'SA Oct 2021'!Q51/100),(('SA Oct 2021'!R51)*'SA Oct 2021'!Q51/100))),0)</f>
        <v>0</v>
      </c>
      <c r="F74" s="50">
        <f>IF(AND('SA Oct 2021'!R51&gt;0,'SA Oct 2021'!T51&gt;0),IF(($C$60*$C$61&lt;'SA Oct 2021'!T51),(0),($C$60*$C$61-'SA Oct 2021'!T51)*'SA Oct 2021'!U51/100),IF(AND('SA Oct 2021'!R51&gt;0,'SA Oct 2021'!T51=""),IF(($C$60*$C$61&lt;'SA Oct 2021'!R51+'SA Oct 2021'!P51),(0),(($C$60*$C$61-('SA Oct 2021'!R51+'SA Oct 2021'!P51))*'SA Oct 2021'!S51/100)),IF(AND('SA Oct 2021'!P51&gt;0,'SA Oct 2021'!R51=""&gt;0),IF(($C$60*$C$61&lt;'SA Oct 2021'!P51),(0),($C$60*$C$61-'SA Oct 2021'!P51)*'SA Oct 2021'!Q51/100),0)))</f>
        <v>0</v>
      </c>
      <c r="G74" s="328">
        <f>($C$60*$C$62)*'SA Oct 2021'!AI51/100</f>
        <v>640</v>
      </c>
      <c r="H74" s="51">
        <f>($C$60*$C$63)*'SA Oct 2021'!W51/100</f>
        <v>345</v>
      </c>
      <c r="I74" s="52">
        <f t="shared" si="46"/>
        <v>1782.7090909090907</v>
      </c>
      <c r="J74" s="109">
        <f t="shared" si="47"/>
        <v>6839.6363636363631</v>
      </c>
      <c r="K74" s="109">
        <f t="shared" si="48"/>
        <v>7130.8363636363629</v>
      </c>
      <c r="L74" s="53">
        <f t="shared" si="49"/>
        <v>7843.92</v>
      </c>
      <c r="M74" s="54">
        <f>'SA Oct 2021'!BB51</f>
        <v>0</v>
      </c>
      <c r="N74" s="54">
        <f>'SA Oct 2021'!BC51</f>
        <v>15</v>
      </c>
      <c r="O74" s="54">
        <f>'SA Oct 2021'!BD51</f>
        <v>0</v>
      </c>
      <c r="P74" s="54">
        <f>'SA Oct 2021'!BE51</f>
        <v>0</v>
      </c>
      <c r="Q74" s="110" t="str">
        <f t="shared" si="55"/>
        <v>Guaranteed off usage</v>
      </c>
      <c r="R74" s="73" t="str">
        <f t="shared" si="51"/>
        <v>Exclusive</v>
      </c>
      <c r="S74" s="111">
        <f t="shared" si="53"/>
        <v>6104.8909090909083</v>
      </c>
      <c r="T74" s="112">
        <f t="shared" si="54"/>
        <v>6104.8909090909083</v>
      </c>
      <c r="U74" s="97">
        <f t="shared" si="52"/>
        <v>6715.3799999999992</v>
      </c>
      <c r="V74" s="98">
        <f t="shared" si="52"/>
        <v>6715.3799999999992</v>
      </c>
      <c r="W74" s="55">
        <f>'SA Oct 2021'!BL51</f>
        <v>0</v>
      </c>
      <c r="X74" s="56" t="str">
        <f>'SA Oct 2021'!BM51</f>
        <v>n</v>
      </c>
      <c r="Y74" s="322"/>
      <c r="Z74" s="325"/>
      <c r="AA74" s="322"/>
      <c r="AB74" s="325"/>
      <c r="AC74" s="322"/>
      <c r="AD74" s="325"/>
      <c r="AE74" s="322"/>
      <c r="AF74" s="325"/>
      <c r="AG74" s="322"/>
      <c r="AH74" s="325"/>
      <c r="AI74" s="322"/>
      <c r="AJ74" s="325"/>
      <c r="AK74" s="322"/>
      <c r="AL74" s="325"/>
      <c r="AM74" s="322"/>
      <c r="AN74" s="325"/>
      <c r="AO74" s="322"/>
      <c r="AP74" s="325"/>
      <c r="AQ74" s="322"/>
      <c r="AR74" s="325"/>
    </row>
    <row r="75" spans="1:44" ht="14" x14ac:dyDescent="0.15">
      <c r="A75" s="70" t="str">
        <f>'SA Oct 2021'!K52</f>
        <v>Lumo Energy</v>
      </c>
      <c r="B75" s="49" t="str">
        <f>'SA Oct 2021'!L52</f>
        <v>Basic</v>
      </c>
      <c r="C75" s="46">
        <f>IF('SA Oct 2021'!BP52=0,91*'SA Oct 2021'!M52/100,(91*'SA Oct 2021'!M52/100)+'SA Oct 2021'!BP52/4)</f>
        <v>90.999999999999986</v>
      </c>
      <c r="D75" s="46">
        <f>IF('SA Oct 2021'!O52="",$C$60*$C$61*'SA Oct 2021'!N52/100,IF($C$60*$C$61&gt;='SA Oct 2021'!P52,('SA Oct 2021'!P52*'SA Oct 2021'!N52/100),($C$60*$C$61*'SA Oct 2021'!N52/100)))</f>
        <v>540</v>
      </c>
      <c r="E75" s="46">
        <f>IF(AND('SA Oct 2021'!P52&gt;0,'SA Oct 2021'!R52&gt;0),IF($C$60*$C$61&lt;'SA Oct 2021'!P52,0,IF($C$60*$C$61&lt;=('SA Oct 2021'!R52+'SA Oct 2021'!P52),(($C$60*$C$61-'SA Oct 2021'!P52)*'SA Oct 2021'!Q52/100),(('SA Oct 2021'!R52)*'SA Oct 2021'!Q52/100))),0)</f>
        <v>0</v>
      </c>
      <c r="F75" s="50">
        <f>IF(AND('SA Oct 2021'!R52&gt;0,'SA Oct 2021'!T52&gt;0),IF(($C$60*$C$61&lt;'SA Oct 2021'!T52),(0),($C$60*$C$61-'SA Oct 2021'!T52)*'SA Oct 2021'!U52/100),IF(AND('SA Oct 2021'!R52&gt;0,'SA Oct 2021'!T52=""),IF(($C$60*$C$61&lt;'SA Oct 2021'!R52+'SA Oct 2021'!P52),(0),(($C$60*$C$61-('SA Oct 2021'!R52+'SA Oct 2021'!P52))*'SA Oct 2021'!S52/100)),IF(AND('SA Oct 2021'!P52&gt;0,'SA Oct 2021'!R52=""&gt;0),IF(($C$60*$C$61&lt;'SA Oct 2021'!P52),(0),($C$60*$C$61-'SA Oct 2021'!P52)*'SA Oct 2021'!Q52/100),0)))</f>
        <v>0</v>
      </c>
      <c r="G75" s="328">
        <f>($C$60*$C$62)*'SA Oct 2021'!AI52/100</f>
        <v>525.99999999999989</v>
      </c>
      <c r="H75" s="51">
        <f>($C$60*$C$63)*'SA Oct 2021'!W52/100</f>
        <v>270</v>
      </c>
      <c r="I75" s="52">
        <f t="shared" si="46"/>
        <v>1427</v>
      </c>
      <c r="J75" s="109">
        <f t="shared" si="47"/>
        <v>5344</v>
      </c>
      <c r="K75" s="109">
        <f t="shared" si="48"/>
        <v>5708</v>
      </c>
      <c r="L75" s="53">
        <f t="shared" si="49"/>
        <v>6278.8</v>
      </c>
      <c r="M75" s="54">
        <f>'SA Oct 2021'!BB52</f>
        <v>0</v>
      </c>
      <c r="N75" s="54">
        <f>'SA Oct 2021'!BC52</f>
        <v>0</v>
      </c>
      <c r="O75" s="54">
        <f>'SA Oct 2021'!BD52</f>
        <v>0</v>
      </c>
      <c r="P75" s="54">
        <f>'SA Oct 2021'!BE52</f>
        <v>0</v>
      </c>
      <c r="Q75" s="110" t="str">
        <f t="shared" ref="Q75:Q76" si="56">IF(SUM(M75:P75)=0,"No discount",IF(M75&gt;0,"Guaranteed off bill",IF(N75&gt;0,"Guaranteed off usage",IF(O75&gt;0,"Pay-on-time off bill","Pay-on-time off usage"))))</f>
        <v>No discount</v>
      </c>
      <c r="R75" s="73" t="str">
        <f t="shared" si="51"/>
        <v>Exclusive</v>
      </c>
      <c r="S75" s="111">
        <f t="shared" si="53"/>
        <v>5708</v>
      </c>
      <c r="T75" s="112">
        <f t="shared" si="54"/>
        <v>5708</v>
      </c>
      <c r="U75" s="97">
        <f t="shared" si="52"/>
        <v>6278.8</v>
      </c>
      <c r="V75" s="98">
        <f t="shared" si="52"/>
        <v>6278.8</v>
      </c>
      <c r="W75" s="55">
        <f>'SA Oct 2021'!BL52</f>
        <v>0</v>
      </c>
      <c r="X75" s="56" t="str">
        <f>'SA Oct 2021'!BM52</f>
        <v>n</v>
      </c>
      <c r="Y75" s="322"/>
      <c r="Z75" s="325"/>
      <c r="AA75" s="322"/>
      <c r="AB75" s="325"/>
      <c r="AC75" s="322"/>
      <c r="AD75" s="325"/>
      <c r="AE75" s="322"/>
      <c r="AF75" s="325"/>
      <c r="AG75" s="322"/>
      <c r="AH75" s="325"/>
      <c r="AI75" s="322"/>
      <c r="AJ75" s="325"/>
      <c r="AK75" s="322"/>
      <c r="AL75" s="325"/>
      <c r="AM75" s="322"/>
      <c r="AN75" s="325"/>
      <c r="AO75" s="322"/>
      <c r="AP75" s="325"/>
      <c r="AQ75" s="322"/>
      <c r="AR75" s="325"/>
    </row>
    <row r="76" spans="1:44" ht="14" x14ac:dyDescent="0.15">
      <c r="A76" s="70" t="str">
        <f>'SA Oct 2021'!K53</f>
        <v>Simply Energy</v>
      </c>
      <c r="B76" s="49" t="str">
        <f>'SA Oct 2021'!L53</f>
        <v>Business Saver</v>
      </c>
      <c r="C76" s="46">
        <f>IF('SA Oct 2021'!BP53=0,91*'SA Oct 2021'!M53/100,(91*'SA Oct 2021'!M53/100)+'SA Oct 2021'!BP53/4)</f>
        <v>83.637272727272716</v>
      </c>
      <c r="D76" s="46">
        <f>IF('SA Oct 2021'!O53="",$C$60*$C$61*'SA Oct 2021'!N53/100,IF($C$60*$C$61&gt;='SA Oct 2021'!P53,('SA Oct 2021'!P53*'SA Oct 2021'!N53/100),($C$60*$C$61*'SA Oct 2021'!N53/100)))</f>
        <v>688.63636363636351</v>
      </c>
      <c r="E76" s="46">
        <f>IF(AND('SA Oct 2021'!P53&gt;0,'SA Oct 2021'!R53&gt;0),IF($C$60*$C$61&lt;'SA Oct 2021'!P53,0,IF($C$60*$C$61&lt;=('SA Oct 2021'!R53+'SA Oct 2021'!P53),(($C$60*$C$61-'SA Oct 2021'!P53)*'SA Oct 2021'!Q53/100),(('SA Oct 2021'!R53)*'SA Oct 2021'!Q53/100))),0)</f>
        <v>0</v>
      </c>
      <c r="F76" s="50">
        <f>IF(AND('SA Oct 2021'!R53&gt;0,'SA Oct 2021'!T53&gt;0),IF(($C$60*$C$61&lt;'SA Oct 2021'!T53),(0),($C$60*$C$61-'SA Oct 2021'!T53)*'SA Oct 2021'!U53/100),IF(AND('SA Oct 2021'!R53&gt;0,'SA Oct 2021'!T53=""),IF(($C$60*$C$61&lt;'SA Oct 2021'!R53+'SA Oct 2021'!P53),(0),(($C$60*$C$61-('SA Oct 2021'!R53+'SA Oct 2021'!P53))*'SA Oct 2021'!S53/100)),IF(AND('SA Oct 2021'!P53&gt;0,'SA Oct 2021'!R53=""&gt;0),IF(($C$60*$C$61&lt;'SA Oct 2021'!P53),(0),($C$60*$C$61-'SA Oct 2021'!P53)*'SA Oct 2021'!Q53/100),0)))</f>
        <v>0</v>
      </c>
      <c r="G76" s="328">
        <f>($C$60*$C$62)*'SA Oct 2021'!AI53/100</f>
        <v>788.72727272727275</v>
      </c>
      <c r="H76" s="51">
        <f>($C$60*$C$63)*'SA Oct 2021'!W53/100</f>
        <v>358.22727272727275</v>
      </c>
      <c r="I76" s="52">
        <f t="shared" si="46"/>
        <v>1919.2281818181816</v>
      </c>
      <c r="J76" s="109">
        <f t="shared" si="47"/>
        <v>7342.363636363636</v>
      </c>
      <c r="K76" s="109">
        <f t="shared" si="48"/>
        <v>7676.9127272727264</v>
      </c>
      <c r="L76" s="53">
        <f t="shared" si="49"/>
        <v>8444.6039999999994</v>
      </c>
      <c r="M76" s="54">
        <f>'SA Oct 2021'!BB53</f>
        <v>18</v>
      </c>
      <c r="N76" s="54">
        <f>'SA Oct 2021'!BC53</f>
        <v>0</v>
      </c>
      <c r="O76" s="54">
        <f>'SA Oct 2021'!BD53</f>
        <v>0</v>
      </c>
      <c r="P76" s="54">
        <f>'SA Oct 2021'!BE53</f>
        <v>0</v>
      </c>
      <c r="Q76" s="110" t="str">
        <f t="shared" si="56"/>
        <v>Guaranteed off bill</v>
      </c>
      <c r="R76" s="73" t="str">
        <f t="shared" si="51"/>
        <v>Exclusive</v>
      </c>
      <c r="S76" s="111">
        <f t="shared" si="53"/>
        <v>6295.0684363636356</v>
      </c>
      <c r="T76" s="112">
        <f t="shared" si="54"/>
        <v>6295.0684363636356</v>
      </c>
      <c r="U76" s="97">
        <f t="shared" si="52"/>
        <v>6924.57528</v>
      </c>
      <c r="V76" s="98">
        <f t="shared" si="52"/>
        <v>6924.57528</v>
      </c>
      <c r="W76" s="55">
        <f>'SA Oct 2021'!BL53</f>
        <v>0</v>
      </c>
      <c r="X76" s="56" t="str">
        <f>'SA Oct 2021'!BM53</f>
        <v>n</v>
      </c>
      <c r="Y76" s="322"/>
      <c r="Z76" s="325"/>
      <c r="AA76" s="322"/>
      <c r="AB76" s="325"/>
      <c r="AC76" s="322"/>
      <c r="AD76" s="325"/>
      <c r="AE76" s="322"/>
      <c r="AF76" s="325"/>
      <c r="AG76" s="322"/>
      <c r="AH76" s="325"/>
      <c r="AI76" s="322"/>
      <c r="AJ76" s="325"/>
      <c r="AK76" s="322"/>
      <c r="AL76" s="325"/>
      <c r="AM76" s="322"/>
      <c r="AN76" s="325"/>
      <c r="AO76" s="322"/>
      <c r="AP76" s="325"/>
      <c r="AQ76" s="322"/>
      <c r="AR76" s="325"/>
    </row>
    <row r="77" spans="1:44" ht="14" x14ac:dyDescent="0.15">
      <c r="A77" s="70" t="str">
        <f>'SA Oct 2021'!K54</f>
        <v>Blue NRG</v>
      </c>
      <c r="B77" s="49" t="str">
        <f>'SA Oct 2021'!L54</f>
        <v>Blue Lightning</v>
      </c>
      <c r="C77" s="46">
        <f>IF('SA Oct 2021'!BP54=0,91*'SA Oct 2021'!M54/100,(91*'SA Oct 2021'!M54/100)+'SA Oct 2021'!BP54/4)</f>
        <v>90.379545454545436</v>
      </c>
      <c r="D77" s="46">
        <f>IF('SA Oct 2021'!O54="",$C$60*$C$61*'SA Oct 2021'!N54/100,IF($C$60*$C$61&gt;='SA Oct 2021'!P54,('SA Oct 2021'!P54*'SA Oct 2021'!N54/100),($C$60*$C$61*'SA Oct 2021'!N54/100)))</f>
        <v>436.90909090909088</v>
      </c>
      <c r="E77" s="46">
        <f>IF(AND('SA Oct 2021'!P54&gt;0,'SA Oct 2021'!R54&gt;0),IF($C$60*$C$61&lt;'SA Oct 2021'!P54,0,IF($C$60*$C$61&lt;=('SA Oct 2021'!R54+'SA Oct 2021'!P54),(($C$60*$C$61-'SA Oct 2021'!P54)*'SA Oct 2021'!Q54/100),(('SA Oct 2021'!R54)*'SA Oct 2021'!Q54/100))),0)</f>
        <v>0</v>
      </c>
      <c r="F77" s="50">
        <f>IF(AND('SA Oct 2021'!R54&gt;0,'SA Oct 2021'!T54&gt;0),IF(($C$60*$C$61&lt;'SA Oct 2021'!T54),(0),($C$60*$C$61-'SA Oct 2021'!T54)*'SA Oct 2021'!U54/100),IF(AND('SA Oct 2021'!R54&gt;0,'SA Oct 2021'!T54=""),IF(($C$60*$C$61&lt;'SA Oct 2021'!R54+'SA Oct 2021'!P54),(0),(($C$60*$C$61-('SA Oct 2021'!R54+'SA Oct 2021'!P54))*'SA Oct 2021'!S54/100)),IF(AND('SA Oct 2021'!P54&gt;0,'SA Oct 2021'!R54=""&gt;0),IF(($C$60*$C$61&lt;'SA Oct 2021'!P54),(0),($C$60*$C$61-'SA Oct 2021'!P54)*'SA Oct 2021'!Q54/100),0)))</f>
        <v>0</v>
      </c>
      <c r="G77" s="328">
        <f>($C$60*$C$62)*'SA Oct 2021'!AI54/100</f>
        <v>380.5454545454545</v>
      </c>
      <c r="H77" s="51">
        <f>($C$60*$C$63)*'SA Oct 2021'!W54/100</f>
        <v>181.5</v>
      </c>
      <c r="I77" s="52">
        <f t="shared" ref="I77:I79" si="57">SUM(C77:H77)</f>
        <v>1089.3340909090907</v>
      </c>
      <c r="J77" s="109">
        <f t="shared" ref="J77:J79" si="58">(I77-C77)*4</f>
        <v>3995.8181818181811</v>
      </c>
      <c r="K77" s="109">
        <f t="shared" ref="K77:K79" si="59">I77*4</f>
        <v>4357.3363636363629</v>
      </c>
      <c r="L77" s="53">
        <f t="shared" ref="L77:L79" si="60">K77*1.1</f>
        <v>4793.07</v>
      </c>
      <c r="M77" s="54">
        <f>'SA Oct 2021'!BB54</f>
        <v>0</v>
      </c>
      <c r="N77" s="54">
        <f>'SA Oct 2021'!BC54</f>
        <v>0</v>
      </c>
      <c r="O77" s="54">
        <f>'SA Oct 2021'!BD54</f>
        <v>0</v>
      </c>
      <c r="P77" s="54">
        <f>'SA Oct 2021'!BE54</f>
        <v>0</v>
      </c>
      <c r="Q77" s="110" t="str">
        <f t="shared" ref="Q77:Q79" si="61">IF(SUM(M77:P77)=0,"No discount",IF(M77&gt;0,"Guaranteed off bill",IF(N77&gt;0,"Guaranteed off usage",IF(O77&gt;0,"Pay-on-time off bill","Pay-on-time off usage"))))</f>
        <v>No discount</v>
      </c>
      <c r="R77" s="73" t="str">
        <f t="shared" ref="R77:R79" si="62">IF(OR(A77="Origin Energy",A77="Red Energy",A77="Powershop"),"Inclusive","Exclusive")</f>
        <v>Exclusive</v>
      </c>
      <c r="S77" s="111">
        <f t="shared" ref="S77:S79" si="63">IF(AND(Q77="Guaranteed off bill",R77="Inclusive"),((K77*1.1)-((K77*1.1)*M77/100))/1.1,IF(AND(Q77="Guaranteed off usage",R77="Inclusive"),((K77*1.1)-((J77*1.1)*N77/100))/1.1,IF(AND(Q77="Guaranteed off bill",R77="Exclusive"),K77-(K77*M77/100),IF(AND(Q77="Guaranteed off usage",R77="Exclusive"),K77-(J77*N77/100),IF(R77="Inclusive",((K77*1.1))/1.1,K77)))))</f>
        <v>4357.3363636363629</v>
      </c>
      <c r="T77" s="112">
        <f t="shared" ref="T77:T79" si="64">IF(AND(Q77="Pay-on-time off bill",R77="Inclusive"),((S77*1.1)-((S77*1.1)*O77/100))/1.1,IF(AND(Q77="Pay-on-time off usage",R77="Inclusive"),((S77*1.1)-((J77*1.1)*P77/100))/1.1,IF(AND(Q77="Pay-on-time off bill",R77="Exclusive"),S77-(S77*O77/100),IF(AND(Q77="Pay-on-time off usage",R77="Exclusive"),S77-(J77*P77/100),IF(R77="Inclusive",((S77*1.1))/1.1,S77)))))</f>
        <v>4357.3363636363629</v>
      </c>
      <c r="U77" s="97">
        <f t="shared" ref="U77:U79" si="65">S77*1.1</f>
        <v>4793.07</v>
      </c>
      <c r="V77" s="98">
        <f t="shared" ref="V77:V79" si="66">T77*1.1</f>
        <v>4793.07</v>
      </c>
      <c r="W77" s="55">
        <f>'SA Oct 2021'!BL54</f>
        <v>0</v>
      </c>
      <c r="X77" s="56" t="str">
        <f>'SA Oct 2021'!BM54</f>
        <v>n</v>
      </c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  <c r="AR77" s="322"/>
    </row>
    <row r="78" spans="1:44" ht="14" x14ac:dyDescent="0.15">
      <c r="A78" s="70" t="str">
        <f>'SA Oct 2021'!K55</f>
        <v>Glow Power</v>
      </c>
      <c r="B78" s="49" t="str">
        <f>'SA Oct 2021'!L55</f>
        <v>Everyday Saver</v>
      </c>
      <c r="C78" s="46">
        <f>IF('SA Oct 2021'!BP55=0,91*'SA Oct 2021'!M55/100,(91*'SA Oct 2021'!M55/100)+'SA Oct 2021'!BP55/4)</f>
        <v>81.899999999999991</v>
      </c>
      <c r="D78" s="46">
        <f>IF('SA Oct 2021'!O55="",$C$60*$C$61*'SA Oct 2021'!N55/100,IF($C$60*$C$61&gt;='SA Oct 2021'!P55,('SA Oct 2021'!P55*'SA Oct 2021'!N55/100),($C$60*$C$61*'SA Oct 2021'!N55/100)))</f>
        <v>477.27272727272725</v>
      </c>
      <c r="E78" s="46">
        <f>IF(AND('SA Oct 2021'!P55&gt;0,'SA Oct 2021'!R55&gt;0),IF($C$60*$C$61&lt;'SA Oct 2021'!P55,0,IF($C$60*$C$61&lt;=('SA Oct 2021'!R55+'SA Oct 2021'!P55),(($C$60*$C$61-'SA Oct 2021'!P55)*'SA Oct 2021'!Q55/100),(('SA Oct 2021'!R55)*'SA Oct 2021'!Q55/100))),0)</f>
        <v>0</v>
      </c>
      <c r="F78" s="50">
        <f>IF(AND('SA Oct 2021'!R55&gt;0,'SA Oct 2021'!T55&gt;0),IF(($C$60*$C$61&lt;'SA Oct 2021'!T55),(0),($C$60*$C$61-'SA Oct 2021'!T55)*'SA Oct 2021'!U55/100),IF(AND('SA Oct 2021'!R55&gt;0,'SA Oct 2021'!T55=""),IF(($C$60*$C$61&lt;'SA Oct 2021'!R55+'SA Oct 2021'!P55),(0),(($C$60*$C$61-('SA Oct 2021'!R55+'SA Oct 2021'!P55))*'SA Oct 2021'!S55/100)),IF(AND('SA Oct 2021'!P55&gt;0,'SA Oct 2021'!R55=""&gt;0),IF(($C$60*$C$61&lt;'SA Oct 2021'!P55),(0),($C$60*$C$61-'SA Oct 2021'!P55)*'SA Oct 2021'!Q55/100),0)))</f>
        <v>0</v>
      </c>
      <c r="G78" s="328">
        <f>($C$60*$C$62)*'SA Oct 2021'!AI55/100</f>
        <v>581.81818181818176</v>
      </c>
      <c r="H78" s="51">
        <f>($C$60*$C$63)*'SA Oct 2021'!W55/100</f>
        <v>368.86363636363632</v>
      </c>
      <c r="I78" s="52">
        <f t="shared" si="57"/>
        <v>1509.8545454545454</v>
      </c>
      <c r="J78" s="109">
        <f t="shared" si="58"/>
        <v>5711.8181818181811</v>
      </c>
      <c r="K78" s="109">
        <f t="shared" si="59"/>
        <v>6039.4181818181814</v>
      </c>
      <c r="L78" s="53">
        <f t="shared" si="60"/>
        <v>6643.36</v>
      </c>
      <c r="M78" s="54">
        <f>'SA Oct 2021'!BB55</f>
        <v>0</v>
      </c>
      <c r="N78" s="54">
        <f>'SA Oct 2021'!BC55</f>
        <v>0</v>
      </c>
      <c r="O78" s="54">
        <f>'SA Oct 2021'!BD55</f>
        <v>0</v>
      </c>
      <c r="P78" s="54">
        <f>'SA Oct 2021'!BE55</f>
        <v>0</v>
      </c>
      <c r="Q78" s="110" t="str">
        <f t="shared" si="61"/>
        <v>No discount</v>
      </c>
      <c r="R78" s="73" t="str">
        <f t="shared" si="62"/>
        <v>Exclusive</v>
      </c>
      <c r="S78" s="111">
        <f t="shared" si="63"/>
        <v>6039.4181818181814</v>
      </c>
      <c r="T78" s="112">
        <f t="shared" si="64"/>
        <v>6039.4181818181814</v>
      </c>
      <c r="U78" s="97">
        <f t="shared" si="65"/>
        <v>6643.36</v>
      </c>
      <c r="V78" s="98">
        <f t="shared" si="66"/>
        <v>6643.36</v>
      </c>
      <c r="W78" s="55">
        <f>'SA Oct 2021'!BL55</f>
        <v>0</v>
      </c>
      <c r="X78" s="56" t="str">
        <f>'SA Oct 2021'!BM55</f>
        <v>n</v>
      </c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22"/>
      <c r="AP78" s="322"/>
      <c r="AQ78" s="322"/>
      <c r="AR78" s="322"/>
    </row>
    <row r="79" spans="1:44" ht="15" thickBot="1" x14ac:dyDescent="0.2">
      <c r="A79" s="71" t="str">
        <f>'SA Oct 2021'!K56</f>
        <v>Sumo Power</v>
      </c>
      <c r="B79" s="57" t="str">
        <f>'SA Oct 2021'!L56</f>
        <v>Freedom</v>
      </c>
      <c r="C79" s="58">
        <f>IF('SA Oct 2021'!BP56=0,91*'SA Oct 2021'!M56/100,(91*'SA Oct 2021'!M56/100)+'SA Oct 2021'!BP56/4)</f>
        <v>113.74999999999999</v>
      </c>
      <c r="D79" s="58">
        <f>IF('SA Oct 2021'!O56="",$C$60*$C$61*'SA Oct 2021'!N56/100,IF($C$60*$C$61&gt;='SA Oct 2021'!P56,('SA Oct 2021'!P56*'SA Oct 2021'!N56/100),($C$60*$C$61*'SA Oct 2021'!N56/100)))</f>
        <v>592.5</v>
      </c>
      <c r="E79" s="58">
        <f>IF(AND('SA Oct 2021'!P56&gt;0,'SA Oct 2021'!R56&gt;0),IF($C$60*$C$61&lt;'SA Oct 2021'!P56,0,IF($C$60*$C$61&lt;=('SA Oct 2021'!R56+'SA Oct 2021'!P56),(($C$60*$C$61-'SA Oct 2021'!P56)*'SA Oct 2021'!Q56/100),(('SA Oct 2021'!R56)*'SA Oct 2021'!Q56/100))),0)</f>
        <v>0</v>
      </c>
      <c r="F79" s="59">
        <f>IF(AND('SA Oct 2021'!R56&gt;0,'SA Oct 2021'!T56&gt;0),IF(($C$60*$C$61&lt;'SA Oct 2021'!T56),(0),($C$60*$C$61-'SA Oct 2021'!T56)*'SA Oct 2021'!U56/100),IF(AND('SA Oct 2021'!R56&gt;0,'SA Oct 2021'!T56=""),IF(($C$60*$C$61&lt;'SA Oct 2021'!R56+'SA Oct 2021'!P56),(0),(($C$60*$C$61-('SA Oct 2021'!R56+'SA Oct 2021'!P56))*'SA Oct 2021'!S56/100)),IF(AND('SA Oct 2021'!P56&gt;0,'SA Oct 2021'!R56=""&gt;0),IF(($C$60*$C$61&lt;'SA Oct 2021'!P56),(0),($C$60*$C$61-'SA Oct 2021'!P56)*'SA Oct 2021'!Q56/100),0)))</f>
        <v>0</v>
      </c>
      <c r="G79" s="329">
        <f>($C$60*$C$62)*'SA Oct 2021'!AI56/100</f>
        <v>620</v>
      </c>
      <c r="H79" s="60">
        <f>($C$60*$C$63)*'SA Oct 2021'!W56/100</f>
        <v>359.99999999999994</v>
      </c>
      <c r="I79" s="61">
        <f t="shared" si="57"/>
        <v>1686.25</v>
      </c>
      <c r="J79" s="116">
        <f t="shared" si="58"/>
        <v>6290</v>
      </c>
      <c r="K79" s="116">
        <f t="shared" si="59"/>
        <v>6745</v>
      </c>
      <c r="L79" s="62">
        <f t="shared" si="60"/>
        <v>7419.5000000000009</v>
      </c>
      <c r="M79" s="63">
        <f>'SA Oct 2021'!BB56</f>
        <v>0</v>
      </c>
      <c r="N79" s="63">
        <f>'SA Oct 2021'!BC56</f>
        <v>0</v>
      </c>
      <c r="O79" s="63">
        <f>'SA Oct 2021'!BD56</f>
        <v>0</v>
      </c>
      <c r="P79" s="63">
        <f>'SA Oct 2021'!BE56</f>
        <v>0</v>
      </c>
      <c r="Q79" s="115" t="str">
        <f t="shared" si="61"/>
        <v>No discount</v>
      </c>
      <c r="R79" s="72" t="str">
        <f t="shared" si="62"/>
        <v>Exclusive</v>
      </c>
      <c r="S79" s="113">
        <f t="shared" si="63"/>
        <v>6745</v>
      </c>
      <c r="T79" s="114">
        <f t="shared" si="64"/>
        <v>6745</v>
      </c>
      <c r="U79" s="99">
        <f t="shared" si="65"/>
        <v>7419.5000000000009</v>
      </c>
      <c r="V79" s="100">
        <f t="shared" si="66"/>
        <v>7419.5000000000009</v>
      </c>
      <c r="W79" s="64">
        <f>'SA Oct 2021'!BL56</f>
        <v>0</v>
      </c>
      <c r="X79" s="65" t="str">
        <f>'SA Oct 2021'!BM56</f>
        <v>n</v>
      </c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22"/>
      <c r="AP79" s="322"/>
      <c r="AQ79" s="322"/>
      <c r="AR79" s="322"/>
    </row>
    <row r="80" spans="1:44" ht="14" x14ac:dyDescent="0.15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</row>
    <row r="81" spans="1:44" ht="14" x14ac:dyDescent="0.15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  <c r="AI81" s="322"/>
      <c r="AJ81" s="322"/>
      <c r="AK81" s="322"/>
      <c r="AL81" s="322"/>
      <c r="AM81" s="322"/>
      <c r="AN81" s="322"/>
      <c r="AO81" s="322"/>
      <c r="AP81" s="322"/>
      <c r="AQ81" s="322"/>
      <c r="AR81" s="322"/>
    </row>
    <row r="82" spans="1:44" ht="14" x14ac:dyDescent="0.15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  <c r="AI82" s="322"/>
      <c r="AJ82" s="322"/>
      <c r="AK82" s="322"/>
      <c r="AL82" s="322"/>
      <c r="AM82" s="322"/>
      <c r="AN82" s="322"/>
      <c r="AO82" s="322"/>
      <c r="AP82" s="322"/>
      <c r="AQ82" s="322"/>
      <c r="AR82" s="322"/>
    </row>
    <row r="83" spans="1:44" ht="14" x14ac:dyDescent="0.15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  <c r="AI83" s="322"/>
      <c r="AJ83" s="322"/>
      <c r="AK83" s="322"/>
      <c r="AL83" s="322"/>
      <c r="AM83" s="322"/>
      <c r="AN83" s="322"/>
      <c r="AO83" s="322"/>
      <c r="AP83" s="322"/>
      <c r="AQ83" s="322"/>
      <c r="AR83" s="322"/>
    </row>
    <row r="84" spans="1:44" ht="14" x14ac:dyDescent="0.1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</row>
    <row r="85" spans="1:44" ht="14" x14ac:dyDescent="0.1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</row>
    <row r="86" spans="1:44" ht="14" x14ac:dyDescent="0.1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  <c r="AI86" s="322"/>
      <c r="AJ86" s="322"/>
      <c r="AK86" s="322"/>
      <c r="AL86" s="322"/>
      <c r="AM86" s="322"/>
      <c r="AN86" s="322"/>
      <c r="AO86" s="322"/>
      <c r="AP86" s="322"/>
      <c r="AQ86" s="322"/>
      <c r="AR86" s="322"/>
    </row>
    <row r="87" spans="1:44" ht="14" x14ac:dyDescent="0.1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  <c r="AI87" s="322"/>
      <c r="AJ87" s="322"/>
      <c r="AK87" s="322"/>
      <c r="AL87" s="322"/>
      <c r="AM87" s="322"/>
      <c r="AN87" s="322"/>
      <c r="AO87" s="322"/>
      <c r="AP87" s="322"/>
      <c r="AQ87" s="322"/>
      <c r="AR87" s="322"/>
    </row>
    <row r="88" spans="1:44" ht="14" x14ac:dyDescent="0.1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  <c r="AI88" s="322"/>
      <c r="AJ88" s="322"/>
      <c r="AK88" s="322"/>
      <c r="AL88" s="322"/>
      <c r="AM88" s="322"/>
      <c r="AN88" s="322"/>
      <c r="AO88" s="322"/>
      <c r="AP88" s="322"/>
      <c r="AQ88" s="322"/>
      <c r="AR88" s="322"/>
    </row>
    <row r="89" spans="1:44" ht="14" x14ac:dyDescent="0.1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  <c r="AI89" s="322"/>
      <c r="AJ89" s="322"/>
      <c r="AK89" s="322"/>
      <c r="AL89" s="322"/>
      <c r="AM89" s="322"/>
      <c r="AN89" s="322"/>
      <c r="AO89" s="322"/>
      <c r="AP89" s="322"/>
      <c r="AQ89" s="322"/>
      <c r="AR89" s="322"/>
    </row>
    <row r="90" spans="1:44" ht="14" x14ac:dyDescent="0.1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  <c r="AI90" s="322"/>
      <c r="AJ90" s="322"/>
      <c r="AK90" s="322"/>
      <c r="AL90" s="322"/>
      <c r="AM90" s="322"/>
      <c r="AN90" s="322"/>
      <c r="AO90" s="322"/>
      <c r="AP90" s="322"/>
      <c r="AQ90" s="322"/>
      <c r="AR90" s="322"/>
    </row>
    <row r="91" spans="1:44" ht="14" x14ac:dyDescent="0.1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  <c r="AI91" s="322"/>
      <c r="AJ91" s="322"/>
      <c r="AK91" s="322"/>
      <c r="AL91" s="322"/>
      <c r="AM91" s="322"/>
      <c r="AN91" s="322"/>
      <c r="AO91" s="322"/>
      <c r="AP91" s="322"/>
      <c r="AQ91" s="322"/>
      <c r="AR91" s="322"/>
    </row>
    <row r="92" spans="1:44" ht="14" x14ac:dyDescent="0.1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  <c r="AI92" s="322"/>
      <c r="AJ92" s="322"/>
      <c r="AK92" s="322"/>
      <c r="AL92" s="322"/>
      <c r="AM92" s="322"/>
      <c r="AN92" s="322"/>
      <c r="AO92" s="322"/>
      <c r="AP92" s="322"/>
      <c r="AQ92" s="322"/>
      <c r="AR92" s="322"/>
    </row>
    <row r="93" spans="1:44" ht="14" x14ac:dyDescent="0.1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  <c r="AI93" s="322"/>
      <c r="AJ93" s="322"/>
      <c r="AK93" s="322"/>
      <c r="AL93" s="322"/>
      <c r="AM93" s="322"/>
      <c r="AN93" s="322"/>
      <c r="AO93" s="322"/>
      <c r="AP93" s="322"/>
      <c r="AQ93" s="322"/>
      <c r="AR93" s="322"/>
    </row>
    <row r="94" spans="1:44" ht="14" x14ac:dyDescent="0.1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322"/>
      <c r="AK94" s="322"/>
      <c r="AL94" s="322"/>
      <c r="AM94" s="322"/>
      <c r="AN94" s="322"/>
      <c r="AO94" s="322"/>
      <c r="AP94" s="322"/>
      <c r="AQ94" s="322"/>
      <c r="AR94" s="322"/>
    </row>
    <row r="95" spans="1:44" ht="14" x14ac:dyDescent="0.1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  <c r="AI95" s="322"/>
      <c r="AJ95" s="322"/>
      <c r="AK95" s="322"/>
      <c r="AL95" s="322"/>
      <c r="AM95" s="322"/>
      <c r="AN95" s="322"/>
      <c r="AO95" s="322"/>
      <c r="AP95" s="322"/>
      <c r="AQ95" s="322"/>
      <c r="AR95" s="322"/>
    </row>
    <row r="96" spans="1:44" ht="14" x14ac:dyDescent="0.1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</row>
    <row r="97" spans="1:44" ht="14" x14ac:dyDescent="0.1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</row>
  </sheetData>
  <sheetProtection algorithmName="SHA-512" hashValue="9j9ZYBj9+7lY23nUyXwFdIidQpgl3YAthDmgLflbYsXyB0mtMm9GRx7ra4UzyEVigQZAyItyyRHnuo1QQFiNwg==" saltValue="1XThWDghTqW+YT+GyOxsuQ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8" max="16383" man="1" pt="1"/>
  </rowBreak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A11EF-9309-D14C-AD21-7077E6D5A03F}">
  <sheetPr codeName="Sheet20">
    <tabColor rgb="FFCD7B93"/>
  </sheetPr>
  <dimension ref="A1:AR100"/>
  <sheetViews>
    <sheetView zoomScaleNormal="100" zoomScalePageLayoutView="125" workbookViewId="0">
      <selection activeCell="A8" sqref="A8:A28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09" t="s">
        <v>31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</row>
    <row r="2" spans="1:44" ht="14" x14ac:dyDescent="0.15">
      <c r="A2" s="310" t="s">
        <v>236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</row>
    <row r="3" spans="1:44" ht="15" thickBot="1" x14ac:dyDescent="0.2">
      <c r="A3" s="309"/>
      <c r="B3" s="309"/>
      <c r="C3" s="309"/>
      <c r="D3" s="309"/>
      <c r="E3" s="309"/>
      <c r="F3" s="309"/>
      <c r="G3" s="311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09"/>
      <c r="Z6" s="309"/>
      <c r="AA6" s="30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  <c r="AO6" s="309"/>
      <c r="AP6" s="309"/>
      <c r="AQ6" s="309"/>
      <c r="AR6" s="309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</row>
    <row r="8" spans="1:44" ht="14" x14ac:dyDescent="0.15">
      <c r="A8" s="70" t="str">
        <f>'SA Apr 2021'!K2</f>
        <v>AGL</v>
      </c>
      <c r="B8" s="49" t="str">
        <f>'SA Apr 2021'!L2</f>
        <v>Business Essentials</v>
      </c>
      <c r="C8" s="46">
        <f>IF('SA Apr 2021'!BP2=0,91*'SA Apr 2021'!M2/100,(91*'SA Apr 2021'!M2/100)+'SA Apr 2021'!BP2/4)</f>
        <v>68.845636363636345</v>
      </c>
      <c r="D8" s="46">
        <f>IF('SA Apr 2021'!O2="",$C$5*'SA Apr 2021'!N2/100,IF($C$5&gt;='SA Apr 2021'!P2,('SA Apr 2021'!P2*'SA Apr 2021'!N2/100),($C$5*'SA Apr 2021'!N2/100)))</f>
        <v>1535</v>
      </c>
      <c r="E8" s="46">
        <f>IF(AND('SA Apr 2021'!P2&gt;0,'SA Apr 2021'!R2&gt;0),IF($C$5&lt;'SA Apr 2021'!P2,0,IF($C$5&lt;=('SA Apr 2021'!R2+'SA Apr 2021'!P2),(($C$5-'SA Apr 2021'!P2)*'SA Apr 2021'!Q2/100),(('SA Apr 2021'!R2)*'SA Apr 2021'!Q2/100))),0)</f>
        <v>0</v>
      </c>
      <c r="F8" s="46">
        <f>IF(AND('SA Apr 2021'!Q2&gt;0,'SA Apr 2021'!S2&gt;0),IF($C$5&lt;('SA Apr 2021'!R2+'SA Apr 2021'!P2),0,IF($C$5&lt;=('SA Apr 2021'!T2+'SA Apr 2021'!R2+'SA Apr 2021'!P2),(($C$5-('SA Apr 2021'!R2+'SA Apr 2021'!P2))*'SA Apr 2021'!S2/100),('SA Apr 2021'!T2*'SA Apr 2021'!S2/100))),0)</f>
        <v>0</v>
      </c>
      <c r="G8" s="50">
        <v>0</v>
      </c>
      <c r="H8" s="46">
        <f>IF(AND('SA Apr 2021'!R2&gt;0,'SA Apr 2021'!T2&gt;0),IF(($C$5&lt;'SA Apr 2021'!T2),(0),($C$5-'SA Apr 2021'!T2)*'SA Apr 2021'!U2/100),IF(AND('SA Apr 2021'!R2&gt;0,'SA Apr 2021'!T2=""),IF(($C$5&lt;'SA Apr 2021'!R2+'SA Apr 2021'!P2),(0),(($C$5-('SA Apr 2021'!R2+'SA Apr 2021'!P2))*'SA Apr 2021'!S2/100)),IF(AND('SA Apr 2021'!P2&gt;0,'SA Apr 2021'!R2=""&gt;0),IF(($C$5&lt;'SA Apr 2021'!P2),(0),($C$5-'SA Apr 2021'!P2)*'SA Apr 2021'!Q2/100),0)))</f>
        <v>0</v>
      </c>
      <c r="I8" s="52">
        <f>SUM(C8:H8)</f>
        <v>1603.8456363636365</v>
      </c>
      <c r="J8" s="109">
        <f>(I8-C8)*4</f>
        <v>6140</v>
      </c>
      <c r="K8" s="109">
        <f t="shared" ref="K8:K26" si="0">I8*4</f>
        <v>6415.3825454545458</v>
      </c>
      <c r="L8" s="53">
        <f>K8*1.1</f>
        <v>7056.9208000000008</v>
      </c>
      <c r="M8" s="54">
        <f>'SA Apr 2021'!BB2</f>
        <v>0</v>
      </c>
      <c r="N8" s="54">
        <f>'SA Apr 2021'!BC2</f>
        <v>0</v>
      </c>
      <c r="O8" s="54">
        <f>'SA Apr 2021'!BD2</f>
        <v>0</v>
      </c>
      <c r="P8" s="54">
        <f>'SA Apr 2021'!BE2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6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6415.3825454545458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6415.3825454545458</v>
      </c>
      <c r="U8" s="97">
        <f>S8*1.1</f>
        <v>7056.9208000000008</v>
      </c>
      <c r="V8" s="98">
        <f>T8*1.1</f>
        <v>7056.9208000000008</v>
      </c>
      <c r="W8" s="55">
        <f>'SA Apr 2021'!BL2</f>
        <v>0</v>
      </c>
      <c r="X8" s="56" t="str">
        <f>'SA Apr 2021'!BM2</f>
        <v>n</v>
      </c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</row>
    <row r="9" spans="1:44" ht="14" x14ac:dyDescent="0.15">
      <c r="A9" s="70" t="str">
        <f>'SA Apr 2021'!K3</f>
        <v>Alinta Energy</v>
      </c>
      <c r="B9" s="49" t="str">
        <f>'SA Apr 2021'!L3</f>
        <v>Business Advantage</v>
      </c>
      <c r="C9" s="46">
        <f>IF('SA Apr 2021'!BP3=0,91*'SA Apr 2021'!M3/100,(91*'SA Apr 2021'!M3/100)+'SA Apr 2021'!BP3/4)</f>
        <v>82.355000000000004</v>
      </c>
      <c r="D9" s="46">
        <f>IF('SA Apr 2021'!O3="",$C$5*'SA Apr 2021'!N3/100,IF($C$5&gt;='SA Apr 2021'!P3,('SA Apr 2021'!P3*'SA Apr 2021'!N3/100),($C$5*'SA Apr 2021'!N3/100)))</f>
        <v>849.31818181818176</v>
      </c>
      <c r="E9" s="46">
        <f>IF(AND('SA Apr 2021'!P3&gt;0,'SA Apr 2021'!R3&gt;0),IF($C$5&lt;'SA Apr 2021'!P3,0,IF($C$5&lt;=('SA Apr 2021'!R3+'SA Apr 2021'!P3),(($C$5-'SA Apr 2021'!P3)*'SA Apr 2021'!Q3/100),(('SA Apr 2021'!R3)*'SA Apr 2021'!Q3/100))),0)</f>
        <v>0</v>
      </c>
      <c r="F9" s="46">
        <f>IF(AND('SA Apr 2021'!Q3&gt;0,'SA Apr 2021'!S3&gt;0),IF($C$5&lt;('SA Apr 2021'!R3+'SA Apr 2021'!P3),0,IF($C$5&lt;=('SA Apr 2021'!T3+'SA Apr 2021'!R3+'SA Apr 2021'!P3),(($C$5-('SA Apr 2021'!R3+'SA Apr 2021'!P3))*'SA Apr 2021'!S3/100),('SA Apr 2021'!T3*'SA Apr 2021'!S3/100))),0)</f>
        <v>0</v>
      </c>
      <c r="G9" s="50">
        <v>0</v>
      </c>
      <c r="H9" s="46">
        <f>IF(AND('SA Apr 2021'!R3&gt;0,'SA Apr 2021'!T3&gt;0),IF(($C$5&lt;'SA Apr 2021'!T3),(0),($C$5-'SA Apr 2021'!T3)*'SA Apr 2021'!U3/100),IF(AND('SA Apr 2021'!R3&gt;0,'SA Apr 2021'!T3=""),IF(($C$5&lt;'SA Apr 2021'!R3+'SA Apr 2021'!P3),(0),(($C$5-('SA Apr 2021'!R3+'SA Apr 2021'!P3))*'SA Apr 2021'!S3/100)),IF(AND('SA Apr 2021'!P3&gt;0,'SA Apr 2021'!R3=""&gt;0),IF(($C$5&lt;'SA Apr 2021'!P3),(0),($C$5-'SA Apr 2021'!P3)*'SA Apr 2021'!Q3/100),0)))</f>
        <v>849.31818181818176</v>
      </c>
      <c r="I9" s="52">
        <f t="shared" ref="I9:I11" si="2">SUM(C9:H9)</f>
        <v>1780.9913636363635</v>
      </c>
      <c r="J9" s="109">
        <f t="shared" ref="J9:J26" si="3">(I9-C9)*4</f>
        <v>6794.545454545454</v>
      </c>
      <c r="K9" s="109">
        <f t="shared" si="0"/>
        <v>7123.9654545454541</v>
      </c>
      <c r="L9" s="53">
        <f t="shared" ref="L9:L26" si="4">K9*1.1</f>
        <v>7836.3620000000001</v>
      </c>
      <c r="M9" s="54">
        <f>'SA Apr 2021'!BB3</f>
        <v>0</v>
      </c>
      <c r="N9" s="54">
        <f>'SA Apr 2021'!BC3</f>
        <v>0</v>
      </c>
      <c r="O9" s="54">
        <f>'SA Apr 2021'!BD3</f>
        <v>0</v>
      </c>
      <c r="P9" s="54">
        <f>'SA Apr 2021'!BE3</f>
        <v>0</v>
      </c>
      <c r="Q9" s="110" t="str">
        <f t="shared" ref="Q9:Q26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V22" si="6">S9*1.1</f>
        <v>7836.3620000000001</v>
      </c>
      <c r="V9" s="98">
        <f t="shared" si="6"/>
        <v>7836.3620000000001</v>
      </c>
      <c r="W9" s="55">
        <f>'SA Apr 2021'!BL3</f>
        <v>0</v>
      </c>
      <c r="X9" s="56" t="str">
        <f>'SA Apr 2021'!BM3</f>
        <v>n</v>
      </c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  <c r="AP9" s="309"/>
      <c r="AQ9" s="309"/>
      <c r="AR9" s="309"/>
    </row>
    <row r="10" spans="1:44" ht="14" x14ac:dyDescent="0.15">
      <c r="A10" s="70" t="str">
        <f>'SA Apr 2021'!K4</f>
        <v>Diamond Energy</v>
      </c>
      <c r="B10" s="49" t="str">
        <f>'SA Apr 2021'!L4</f>
        <v>Renewable Saver POT</v>
      </c>
      <c r="C10" s="46">
        <f>IF('SA Apr 2021'!BP4=0,91*'SA Apr 2021'!M4/100,(91*'SA Apr 2021'!M4/100)+'SA Apr 2021'!BP4/4)</f>
        <v>90.545000000000002</v>
      </c>
      <c r="D10" s="46">
        <f>IF('SA Apr 2021'!O4="",$C$5*'SA Apr 2021'!N4/100,IF($C$5&gt;='SA Apr 2021'!P4,('SA Apr 2021'!P4*'SA Apr 2021'!N4/100),($C$5*'SA Apr 2021'!N4/100)))</f>
        <v>375.54545454545456</v>
      </c>
      <c r="E10" s="46">
        <f>IF(AND('SA Apr 2021'!P4&gt;0,'SA Apr 2021'!R4&gt;0),IF($C$5&lt;'SA Apr 2021'!P4,0,IF($C$5&lt;=('SA Apr 2021'!R4+'SA Apr 2021'!P4),(($C$5-'SA Apr 2021'!P4)*'SA Apr 2021'!Q4/100),(('SA Apr 2021'!R4)*'SA Apr 2021'!Q4/100))),0)</f>
        <v>0</v>
      </c>
      <c r="F10" s="46">
        <f>IF(AND('SA Apr 2021'!Q4&gt;0,'SA Apr 2021'!S4&gt;0),IF($C$5&lt;('SA Apr 2021'!R4+'SA Apr 2021'!P4),0,IF($C$5&lt;=('SA Apr 2021'!T4+'SA Apr 2021'!R4+'SA Apr 2021'!P4),(($C$5-('SA Apr 2021'!R4+'SA Apr 2021'!P4))*'SA Apr 2021'!S4/100),('SA Apr 2021'!T4*'SA Apr 2021'!S4/100))),0)</f>
        <v>0</v>
      </c>
      <c r="G10" s="50">
        <v>0</v>
      </c>
      <c r="H10" s="46">
        <f>IF(AND('SA Apr 2021'!R4&gt;0,'SA Apr 2021'!T4&gt;0),IF(($C$5&lt;'SA Apr 2021'!T4),(0),($C$5-'SA Apr 2021'!T4)*'SA Apr 2021'!U4/100),IF(AND('SA Apr 2021'!R4&gt;0,'SA Apr 2021'!T4=""),IF(($C$5&lt;'SA Apr 2021'!R4+'SA Apr 2021'!P4),(0),(($C$5-('SA Apr 2021'!R4+'SA Apr 2021'!P4))*'SA Apr 2021'!S4/100)),IF(AND('SA Apr 2021'!P4&gt;0,'SA Apr 2021'!R4=""&gt;0),IF(($C$5&lt;'SA Apr 2021'!P4),(0),($C$5-'SA Apr 2021'!P4)*'SA Apr 2021'!Q4/100),0)))</f>
        <v>1598.1818181818182</v>
      </c>
      <c r="I10" s="52">
        <f t="shared" si="2"/>
        <v>2064.272272727273</v>
      </c>
      <c r="J10" s="109">
        <f t="shared" si="3"/>
        <v>7894.9090909090919</v>
      </c>
      <c r="K10" s="109">
        <f t="shared" si="0"/>
        <v>8257.0890909090922</v>
      </c>
      <c r="L10" s="53">
        <f t="shared" si="4"/>
        <v>9082.7980000000025</v>
      </c>
      <c r="M10" s="54">
        <f>'SA Apr 2021'!BB4</f>
        <v>0</v>
      </c>
      <c r="N10" s="54">
        <f>'SA Apr 2021'!BC4</f>
        <v>0</v>
      </c>
      <c r="O10" s="54">
        <f>'SA Apr 2021'!BD4</f>
        <v>7</v>
      </c>
      <c r="P10" s="54">
        <f>'SA Apr 2021'!BE4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6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8257.0890909090922</v>
      </c>
      <c r="T10" s="112">
        <f t="shared" ref="T10:T26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7679.0928545454553</v>
      </c>
      <c r="U10" s="97">
        <f t="shared" si="6"/>
        <v>9082.7980000000025</v>
      </c>
      <c r="V10" s="98">
        <f t="shared" si="6"/>
        <v>8447.0021400000023</v>
      </c>
      <c r="W10" s="55">
        <f>'SA Apr 2021'!BL4</f>
        <v>0</v>
      </c>
      <c r="X10" s="56" t="str">
        <f>'SA Apr 2021'!BM4</f>
        <v>n</v>
      </c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</row>
    <row r="11" spans="1:44" ht="14" x14ac:dyDescent="0.15">
      <c r="A11" s="70" t="str">
        <f>'SA Apr 2021'!K5</f>
        <v>EnergyAustralia</v>
      </c>
      <c r="B11" s="49" t="str">
        <f>'SA Apr 2021'!L5</f>
        <v>Total Plan</v>
      </c>
      <c r="C11" s="46">
        <f>IF('SA Apr 2021'!BP5=0,91*'SA Apr 2021'!M5/100,(91*'SA Apr 2021'!M5/100)+'SA Apr 2021'!BP5/4)</f>
        <v>89.179999999999978</v>
      </c>
      <c r="D11" s="46">
        <f>IF('SA Apr 2021'!O5="",$C$5*'SA Apr 2021'!N5/100,IF($C$5&gt;='SA Apr 2021'!P5,('SA Apr 2021'!P5*'SA Apr 2021'!N5/100),($C$5*'SA Apr 2021'!N5/100)))</f>
        <v>1798.181818181818</v>
      </c>
      <c r="E11" s="46">
        <f>IF(AND('SA Apr 2021'!P5&gt;0,'SA Apr 2021'!R5&gt;0),IF($C$5&lt;'SA Apr 2021'!P5,0,IF($C$5&lt;=('SA Apr 2021'!R5+'SA Apr 2021'!P5),(($C$5-'SA Apr 2021'!P5)*'SA Apr 2021'!Q5/100),(('SA Apr 2021'!R5)*'SA Apr 2021'!Q5/100))),0)</f>
        <v>0</v>
      </c>
      <c r="F11" s="46">
        <f>IF(AND('SA Apr 2021'!Q5&gt;0,'SA Apr 2021'!S5&gt;0),IF($C$5&lt;('SA Apr 2021'!R5+'SA Apr 2021'!P5),0,IF($C$5&lt;=('SA Apr 2021'!T5+'SA Apr 2021'!R5+'SA Apr 2021'!P5),(($C$5-('SA Apr 2021'!R5+'SA Apr 2021'!P5))*'SA Apr 2021'!S5/100),('SA Apr 2021'!T5*'SA Apr 2021'!S5/100))),0)</f>
        <v>0</v>
      </c>
      <c r="G11" s="50">
        <v>0</v>
      </c>
      <c r="H11" s="46">
        <f>IF(AND('SA Apr 2021'!R5&gt;0,'SA Apr 2021'!T5&gt;0),IF(($C$5&lt;'SA Apr 2021'!T5),(0),($C$5-'SA Apr 2021'!T5)*'SA Apr 2021'!U5/100),IF(AND('SA Apr 2021'!R5&gt;0,'SA Apr 2021'!T5=""),IF(($C$5&lt;'SA Apr 2021'!R5+'SA Apr 2021'!P5),(0),(($C$5-('SA Apr 2021'!R5+'SA Apr 2021'!P5))*'SA Apr 2021'!S5/100)),IF(AND('SA Apr 2021'!P5&gt;0,'SA Apr 2021'!R5=""&gt;0),IF(($C$5&lt;'SA Apr 2021'!P5),(0),($C$5-'SA Apr 2021'!P5)*'SA Apr 2021'!Q5/100),0)))</f>
        <v>0</v>
      </c>
      <c r="I11" s="52">
        <f t="shared" si="2"/>
        <v>1887.3618181818181</v>
      </c>
      <c r="J11" s="109">
        <f t="shared" si="3"/>
        <v>7192.7272727272721</v>
      </c>
      <c r="K11" s="109">
        <f t="shared" si="0"/>
        <v>7549.4472727272723</v>
      </c>
      <c r="L11" s="53">
        <f t="shared" si="4"/>
        <v>8304.3919999999998</v>
      </c>
      <c r="M11" s="54">
        <f>'SA Apr 2021'!BB5</f>
        <v>3</v>
      </c>
      <c r="N11" s="54">
        <f>'SA Apr 2021'!BC5</f>
        <v>0</v>
      </c>
      <c r="O11" s="54">
        <f>'SA Apr 2021'!BD5</f>
        <v>0</v>
      </c>
      <c r="P11" s="54">
        <f>'SA Apr 2021'!BE5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7322.9638545454545</v>
      </c>
      <c r="T11" s="112">
        <f t="shared" si="8"/>
        <v>7322.9638545454545</v>
      </c>
      <c r="U11" s="97">
        <f t="shared" si="6"/>
        <v>8055.2602400000005</v>
      </c>
      <c r="V11" s="98">
        <f t="shared" si="6"/>
        <v>8055.2602400000005</v>
      </c>
      <c r="W11" s="55">
        <f>'SA Apr 2021'!BL5</f>
        <v>0</v>
      </c>
      <c r="X11" s="56" t="str">
        <f>'SA Apr 2021'!BM5</f>
        <v>n</v>
      </c>
      <c r="Y11" s="314"/>
      <c r="Z11" s="314"/>
      <c r="AA11" s="314"/>
      <c r="AB11" s="314"/>
      <c r="AC11" s="314"/>
      <c r="AD11" s="314"/>
      <c r="AE11" s="314"/>
      <c r="AF11" s="314"/>
      <c r="AG11" s="314"/>
      <c r="AH11" s="314"/>
      <c r="AI11" s="314"/>
      <c r="AJ11" s="314"/>
      <c r="AK11" s="314"/>
      <c r="AL11" s="314"/>
      <c r="AM11" s="314"/>
      <c r="AN11" s="314"/>
      <c r="AO11" s="314"/>
      <c r="AP11" s="314"/>
      <c r="AQ11" s="314"/>
      <c r="AR11" s="314"/>
    </row>
    <row r="12" spans="1:44" ht="14" x14ac:dyDescent="0.15">
      <c r="A12" s="70" t="str">
        <f>'SA Apr 2021'!K6</f>
        <v>Lumo Energy</v>
      </c>
      <c r="B12" s="49" t="str">
        <f>'SA Apr 2021'!L6</f>
        <v>Basic</v>
      </c>
      <c r="C12" s="46">
        <f>IF('SA Apr 2021'!BP6=0,91*'SA Apr 2021'!M6/100,(91*'SA Apr 2021'!M6/100)+'SA Apr 2021'!BP6/4)</f>
        <v>78.276545454545442</v>
      </c>
      <c r="D12" s="46">
        <f>IF('SA Apr 2021'!O6="",$C$5*'SA Apr 2021'!N6/100,IF($C$5&gt;='SA Apr 2021'!P6,('SA Apr 2021'!P6*'SA Apr 2021'!N6/100),($C$5*'SA Apr 2021'!N6/100)))</f>
        <v>1694.5454545454545</v>
      </c>
      <c r="E12" s="46">
        <f>IF(AND('SA Apr 2021'!P6&gt;0,'SA Apr 2021'!R6&gt;0),IF($C$5&lt;'SA Apr 2021'!P6,0,IF($C$5&lt;=('SA Apr 2021'!R6+'SA Apr 2021'!P6),(($C$5-'SA Apr 2021'!P6)*'SA Apr 2021'!Q6/100),(('SA Apr 2021'!R6)*'SA Apr 2021'!Q6/100))),0)</f>
        <v>0</v>
      </c>
      <c r="F12" s="46">
        <f>IF(AND('SA Apr 2021'!Q6&gt;0,'SA Apr 2021'!S6&gt;0),IF($C$5&lt;('SA Apr 2021'!R6+'SA Apr 2021'!P6),0,IF($C$5&lt;=('SA Apr 2021'!T6+'SA Apr 2021'!R6+'SA Apr 2021'!P6),(($C$5-('SA Apr 2021'!R6+'SA Apr 2021'!P6))*'SA Apr 2021'!S6/100),('SA Apr 2021'!T6*'SA Apr 2021'!S6/100))),0)</f>
        <v>0</v>
      </c>
      <c r="G12" s="50">
        <v>1</v>
      </c>
      <c r="H12" s="46">
        <f>IF(AND('SA Apr 2021'!R6&gt;0,'SA Apr 2021'!T6&gt;0),IF(($C$5&lt;'SA Apr 2021'!T6),(0),($C$5-'SA Apr 2021'!T6)*'SA Apr 2021'!U6/100),IF(AND('SA Apr 2021'!R6&gt;0,'SA Apr 2021'!T6=""),IF(($C$5&lt;'SA Apr 2021'!R6+'SA Apr 2021'!P6),(0),(($C$5-('SA Apr 2021'!R6+'SA Apr 2021'!P6))*'SA Apr 2021'!S6/100)),IF(AND('SA Apr 2021'!P6&gt;0,'SA Apr 2021'!R6=""&gt;0),IF(($C$5&lt;'SA Apr 2021'!P6),(0),($C$5-'SA Apr 2021'!P6)*'SA Apr 2021'!Q6/100),0)))</f>
        <v>0</v>
      </c>
      <c r="I12" s="52">
        <f t="shared" ref="I12" si="9">SUM(C12:H12)</f>
        <v>1773.8219999999999</v>
      </c>
      <c r="J12" s="109">
        <f t="shared" si="3"/>
        <v>6782.181818181818</v>
      </c>
      <c r="K12" s="109">
        <f t="shared" si="0"/>
        <v>7095.2879999999996</v>
      </c>
      <c r="L12" s="53">
        <f t="shared" si="4"/>
        <v>7804.8168000000005</v>
      </c>
      <c r="M12" s="54">
        <f>'SA Apr 2021'!BB6</f>
        <v>0</v>
      </c>
      <c r="N12" s="54">
        <f>'SA Apr 2021'!BC6</f>
        <v>0</v>
      </c>
      <c r="O12" s="54">
        <f>'SA Apr 2021'!BD6</f>
        <v>0</v>
      </c>
      <c r="P12" s="54">
        <f>'SA Apr 2021'!BE6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7095.2879999999996</v>
      </c>
      <c r="T12" s="112">
        <f t="shared" si="8"/>
        <v>7095.2879999999996</v>
      </c>
      <c r="U12" s="97">
        <f t="shared" si="6"/>
        <v>7804.8168000000005</v>
      </c>
      <c r="V12" s="98">
        <f t="shared" si="6"/>
        <v>7804.8168000000005</v>
      </c>
      <c r="W12" s="55">
        <f>'SA Apr 2021'!BL6</f>
        <v>0</v>
      </c>
      <c r="X12" s="56" t="str">
        <f>'SA Apr 2021'!BM6</f>
        <v>n</v>
      </c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</row>
    <row r="13" spans="1:44" ht="14" x14ac:dyDescent="0.15">
      <c r="A13" s="70" t="str">
        <f>'SA Apr 2021'!K7</f>
        <v>Momentum Energy</v>
      </c>
      <c r="B13" s="49" t="str">
        <f>'SA Apr 2021'!L7</f>
        <v>SmilePower Flexi</v>
      </c>
      <c r="C13" s="46">
        <f>IF('SA Apr 2021'!BP7=0,91*'SA Apr 2021'!M7/100,(91*'SA Apr 2021'!M7/100)+'SA Apr 2021'!BP7/4)</f>
        <v>111.01999999999998</v>
      </c>
      <c r="D13" s="46">
        <f>IF('SA Apr 2021'!O7="",$C$5*'SA Apr 2021'!N7/100,IF($C$5&gt;='SA Apr 2021'!P7,('SA Apr 2021'!P7*'SA Apr 2021'!N7/100),($C$5*'SA Apr 2021'!N7/100)))</f>
        <v>1596.3636363636363</v>
      </c>
      <c r="E13" s="46">
        <f>IF(AND('SA Apr 2021'!P7&gt;0,'SA Apr 2021'!R7&gt;0),IF($C$5&lt;'SA Apr 2021'!P7,0,IF($C$5&lt;=('SA Apr 2021'!R7+'SA Apr 2021'!P7),(($C$5-'SA Apr 2021'!P7)*'SA Apr 2021'!Q7/100),(('SA Apr 2021'!R7)*'SA Apr 2021'!Q7/100))),0)</f>
        <v>0</v>
      </c>
      <c r="F13" s="46">
        <f>IF(AND('SA Apr 2021'!Q7&gt;0,'SA Apr 2021'!S7&gt;0),IF($C$5&lt;('SA Apr 2021'!R7+'SA Apr 2021'!P7),0,IF($C$5&lt;=('SA Apr 2021'!T7+'SA Apr 2021'!R7+'SA Apr 2021'!P7),(($C$5-('SA Apr 2021'!R7+'SA Apr 2021'!P7))*'SA Apr 2021'!S7/100),('SA Apr 2021'!T7*'SA Apr 2021'!S7/100))),0)</f>
        <v>0</v>
      </c>
      <c r="G13" s="50">
        <v>0</v>
      </c>
      <c r="H13" s="46">
        <f>IF(AND('SA Apr 2021'!R7&gt;0,'SA Apr 2021'!T7&gt;0),IF(($C$5&lt;'SA Apr 2021'!T7),(0),($C$5-'SA Apr 2021'!T7)*'SA Apr 2021'!U7/100),IF(AND('SA Apr 2021'!R7&gt;0,'SA Apr 2021'!T7=""),IF(($C$5&lt;'SA Apr 2021'!R7+'SA Apr 2021'!P7),(0),(($C$5-('SA Apr 2021'!R7+'SA Apr 2021'!P7))*'SA Apr 2021'!S7/100)),IF(AND('SA Apr 2021'!P7&gt;0,'SA Apr 2021'!R7=""&gt;0),IF(($C$5&lt;'SA Apr 2021'!P7),(0),($C$5-'SA Apr 2021'!P7)*'SA Apr 2021'!Q7/100),0)))</f>
        <v>0</v>
      </c>
      <c r="I13" s="52">
        <f t="shared" ref="I13:I22" si="10">SUM(C13:H13)</f>
        <v>1707.3836363636362</v>
      </c>
      <c r="J13" s="109">
        <f t="shared" si="3"/>
        <v>6385.454545454545</v>
      </c>
      <c r="K13" s="109">
        <f t="shared" si="0"/>
        <v>6829.534545454545</v>
      </c>
      <c r="L13" s="53">
        <f t="shared" si="4"/>
        <v>7512.4880000000003</v>
      </c>
      <c r="M13" s="54">
        <f>'SA Apr 2021'!BB7</f>
        <v>0</v>
      </c>
      <c r="N13" s="54">
        <f>'SA Apr 2021'!BC7</f>
        <v>0</v>
      </c>
      <c r="O13" s="54">
        <f>'SA Apr 2021'!BD7</f>
        <v>0</v>
      </c>
      <c r="P13" s="54">
        <f>'SA Apr 2021'!BE7</f>
        <v>0</v>
      </c>
      <c r="Q13" s="110" t="str">
        <f t="shared" si="5"/>
        <v>No discount</v>
      </c>
      <c r="R13" s="73" t="str">
        <f t="shared" si="1"/>
        <v>Exclusive</v>
      </c>
      <c r="S13" s="111">
        <f t="shared" si="7"/>
        <v>6829.534545454545</v>
      </c>
      <c r="T13" s="112">
        <f t="shared" si="8"/>
        <v>6829.534545454545</v>
      </c>
      <c r="U13" s="97">
        <f t="shared" si="6"/>
        <v>7512.4880000000003</v>
      </c>
      <c r="V13" s="98">
        <f t="shared" si="6"/>
        <v>7512.4880000000003</v>
      </c>
      <c r="W13" s="55">
        <f>'SA Apr 2021'!BL7</f>
        <v>0</v>
      </c>
      <c r="X13" s="56" t="str">
        <f>'SA Apr 2021'!BM7</f>
        <v>n</v>
      </c>
      <c r="Y13" s="314"/>
      <c r="Z13" s="314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</row>
    <row r="14" spans="1:44" ht="14" x14ac:dyDescent="0.15">
      <c r="A14" s="70" t="str">
        <f>'SA Apr 2021'!K8</f>
        <v>Origin Energy</v>
      </c>
      <c r="B14" s="49" t="str">
        <f>'SA Apr 2021'!L8</f>
        <v xml:space="preserve">Flexi </v>
      </c>
      <c r="C14" s="46">
        <f>IF('SA Apr 2021'!BP8=0,91*'SA Apr 2021'!M8/100,(91*'SA Apr 2021'!M8/100)+'SA Apr 2021'!BP8/4)</f>
        <v>74.669636363636357</v>
      </c>
      <c r="D14" s="46">
        <f>IF('SA Apr 2021'!O8="",$C$5*'SA Apr 2021'!N8/100,IF($C$5&gt;='SA Apr 2021'!P8,('SA Apr 2021'!P8*'SA Apr 2021'!N8/100),($C$5*'SA Apr 2021'!N8/100)))</f>
        <v>1812.7272727272727</v>
      </c>
      <c r="E14" s="46">
        <f>IF(AND('SA Apr 2021'!P8&gt;0,'SA Apr 2021'!R8&gt;0),IF($C$5&lt;'SA Apr 2021'!P8,0,IF($C$5&lt;=('SA Apr 2021'!R8+'SA Apr 2021'!P8),(($C$5-'SA Apr 2021'!P8)*'SA Apr 2021'!Q8/100),(('SA Apr 2021'!R8)*'SA Apr 2021'!Q8/100))),0)</f>
        <v>0</v>
      </c>
      <c r="F14" s="46">
        <f>IF(AND('SA Apr 2021'!Q8&gt;0,'SA Apr 2021'!S8&gt;0),IF($C$5&lt;('SA Apr 2021'!R8+'SA Apr 2021'!P8),0,IF($C$5&lt;=('SA Apr 2021'!T8+'SA Apr 2021'!R8+'SA Apr 2021'!P8),(($C$5-('SA Apr 2021'!R8+'SA Apr 2021'!P8))*'SA Apr 2021'!S8/100),('SA Apr 2021'!T8*'SA Apr 2021'!S8/100))),0)</f>
        <v>0</v>
      </c>
      <c r="G14" s="50">
        <v>0</v>
      </c>
      <c r="H14" s="46">
        <f>IF(AND('SA Apr 2021'!R8&gt;0,'SA Apr 2021'!T8&gt;0),IF(($C$5&lt;'SA Apr 2021'!T8),(0),($C$5-'SA Apr 2021'!T8)*'SA Apr 2021'!U8/100),IF(AND('SA Apr 2021'!R8&gt;0,'SA Apr 2021'!T8=""),IF(($C$5&lt;'SA Apr 2021'!R8+'SA Apr 2021'!P8),(0),(($C$5-('SA Apr 2021'!R8+'SA Apr 2021'!P8))*'SA Apr 2021'!S8/100)),IF(AND('SA Apr 2021'!P8&gt;0,'SA Apr 2021'!R8=""&gt;0),IF(($C$5&lt;'SA Apr 2021'!P8),(0),($C$5-'SA Apr 2021'!P8)*'SA Apr 2021'!Q8/100),0)))</f>
        <v>0</v>
      </c>
      <c r="I14" s="52">
        <f t="shared" si="10"/>
        <v>1887.396909090909</v>
      </c>
      <c r="J14" s="109">
        <f t="shared" si="3"/>
        <v>7250.909090909091</v>
      </c>
      <c r="K14" s="109">
        <f t="shared" si="0"/>
        <v>7549.5876363636362</v>
      </c>
      <c r="L14" s="53">
        <f t="shared" si="4"/>
        <v>8304.5464000000011</v>
      </c>
      <c r="M14" s="54">
        <f>'SA Apr 2021'!BB8</f>
        <v>0</v>
      </c>
      <c r="N14" s="54">
        <f>'SA Apr 2021'!BC8</f>
        <v>15</v>
      </c>
      <c r="O14" s="54">
        <f>'SA Apr 2021'!BD8</f>
        <v>0</v>
      </c>
      <c r="P14" s="54">
        <f>'SA Apr 2021'!BE8</f>
        <v>0</v>
      </c>
      <c r="Q14" s="110" t="str">
        <f t="shared" si="5"/>
        <v>Guaranteed off usage</v>
      </c>
      <c r="R14" s="73" t="str">
        <f t="shared" si="1"/>
        <v>Inclusive</v>
      </c>
      <c r="S14" s="111">
        <f t="shared" si="7"/>
        <v>6461.9512727272731</v>
      </c>
      <c r="T14" s="112">
        <f t="shared" si="8"/>
        <v>6461.9512727272731</v>
      </c>
      <c r="U14" s="97">
        <f t="shared" si="6"/>
        <v>7108.1464000000014</v>
      </c>
      <c r="V14" s="98">
        <f t="shared" si="6"/>
        <v>7108.1464000000014</v>
      </c>
      <c r="W14" s="55">
        <f>'SA Apr 2021'!BL8</f>
        <v>0</v>
      </c>
      <c r="X14" s="56" t="str">
        <f>'SA Apr 2021'!BM8</f>
        <v>n</v>
      </c>
      <c r="Y14" s="309"/>
      <c r="Z14" s="309"/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309"/>
      <c r="AL14" s="309"/>
      <c r="AM14" s="309"/>
      <c r="AN14" s="309"/>
      <c r="AO14" s="309"/>
      <c r="AP14" s="309"/>
      <c r="AQ14" s="309"/>
      <c r="AR14" s="309"/>
    </row>
    <row r="15" spans="1:44" ht="14" x14ac:dyDescent="0.15">
      <c r="A15" s="70" t="str">
        <f>'SA Apr 2021'!K9</f>
        <v>Powerdirect</v>
      </c>
      <c r="B15" s="49" t="str">
        <f>'SA Apr 2021'!L9</f>
        <v>Business Rate Saver</v>
      </c>
      <c r="C15" s="46">
        <f>IF('SA Apr 2021'!BP9=0,91*'SA Apr 2021'!M9/100,(91*'SA Apr 2021'!M9/100)+'SA Apr 2021'!BP9/4)</f>
        <v>70.458818181818174</v>
      </c>
      <c r="D15" s="46">
        <f>IF('SA Apr 2021'!O9="",$C$5*'SA Apr 2021'!N9/100,IF($C$5&gt;='SA Apr 2021'!P9,('SA Apr 2021'!P9*'SA Apr 2021'!N9/100),($C$5*'SA Apr 2021'!N9/100)))</f>
        <v>1570.909090909091</v>
      </c>
      <c r="E15" s="46">
        <f>IF(AND('SA Apr 2021'!P9&gt;0,'SA Apr 2021'!R9&gt;0),IF($C$5&lt;'SA Apr 2021'!P9,0,IF($C$5&lt;=('SA Apr 2021'!R9+'SA Apr 2021'!P9),(($C$5-'SA Apr 2021'!P9)*'SA Apr 2021'!Q9/100),(('SA Apr 2021'!R9)*'SA Apr 2021'!Q9/100))),0)</f>
        <v>0</v>
      </c>
      <c r="F15" s="46">
        <f>IF(AND('SA Apr 2021'!Q9&gt;0,'SA Apr 2021'!S9&gt;0),IF($C$5&lt;('SA Apr 2021'!R9+'SA Apr 2021'!P9),0,IF($C$5&lt;=('SA Apr 2021'!T9+'SA Apr 2021'!R9+'SA Apr 2021'!P9),(($C$5-('SA Apr 2021'!R9+'SA Apr 2021'!P9))*'SA Apr 2021'!S9/100),('SA Apr 2021'!T9*'SA Apr 2021'!S9/100))),0)</f>
        <v>0</v>
      </c>
      <c r="G15" s="50">
        <v>0</v>
      </c>
      <c r="H15" s="46">
        <f>IF(AND('SA Apr 2021'!R9&gt;0,'SA Apr 2021'!T9&gt;0),IF(($C$5&lt;'SA Apr 2021'!T9),(0),($C$5-'SA Apr 2021'!T9)*'SA Apr 2021'!U9/100),IF(AND('SA Apr 2021'!R9&gt;0,'SA Apr 2021'!T9=""),IF(($C$5&lt;'SA Apr 2021'!R9+'SA Apr 2021'!P9),(0),(($C$5-('SA Apr 2021'!R9+'SA Apr 2021'!P9))*'SA Apr 2021'!S9/100)),IF(AND('SA Apr 2021'!P9&gt;0,'SA Apr 2021'!R9=""&gt;0),IF(($C$5&lt;'SA Apr 2021'!P9),(0),($C$5-'SA Apr 2021'!P9)*'SA Apr 2021'!Q9/100),0)))</f>
        <v>0</v>
      </c>
      <c r="I15" s="52">
        <f t="shared" si="10"/>
        <v>1641.3679090909091</v>
      </c>
      <c r="J15" s="109">
        <f t="shared" si="3"/>
        <v>6283.636363636364</v>
      </c>
      <c r="K15" s="109">
        <f t="shared" si="0"/>
        <v>6565.4716363636362</v>
      </c>
      <c r="L15" s="53">
        <f t="shared" si="4"/>
        <v>7222.0188000000007</v>
      </c>
      <c r="M15" s="54">
        <f>'SA Apr 2021'!BB9</f>
        <v>0</v>
      </c>
      <c r="N15" s="54">
        <f>'SA Apr 2021'!BC9</f>
        <v>0</v>
      </c>
      <c r="O15" s="54">
        <f>'SA Apr 2021'!BD9</f>
        <v>0</v>
      </c>
      <c r="P15" s="54">
        <f>'SA Apr 2021'!BE9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6565.4716363636362</v>
      </c>
      <c r="T15" s="112">
        <f t="shared" si="8"/>
        <v>6565.4716363636362</v>
      </c>
      <c r="U15" s="97">
        <f t="shared" si="6"/>
        <v>7222.0188000000007</v>
      </c>
      <c r="V15" s="98">
        <f t="shared" si="6"/>
        <v>7222.0188000000007</v>
      </c>
      <c r="W15" s="55">
        <f>'SA Apr 2021'!BL9</f>
        <v>0</v>
      </c>
      <c r="X15" s="56" t="str">
        <f>'SA Apr 2021'!BM9</f>
        <v>n</v>
      </c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</row>
    <row r="16" spans="1:44" ht="14" x14ac:dyDescent="0.15">
      <c r="A16" s="70" t="str">
        <f>'SA Apr 2021'!K10</f>
        <v>Red Energy</v>
      </c>
      <c r="B16" s="49" t="str">
        <f>'SA Apr 2021'!L10</f>
        <v>Red Business Saver</v>
      </c>
      <c r="C16" s="46">
        <f>IF('SA Apr 2021'!BP10=0,91*'SA Apr 2021'!M10/100,(91*'SA Apr 2021'!M10/100)+'SA Apr 2021'!BP10/4)</f>
        <v>79.260999999999996</v>
      </c>
      <c r="D16" s="46">
        <f>IF('SA Apr 2021'!O10="",$C$5*'SA Apr 2021'!N10/100,IF($C$5&gt;='SA Apr 2021'!P10,('SA Apr 2021'!P10*'SA Apr 2021'!N10/100),($C$5*'SA Apr 2021'!N10/100)))</f>
        <v>1754.9999999999998</v>
      </c>
      <c r="E16" s="46">
        <f>IF(AND('SA Apr 2021'!P10&gt;0,'SA Apr 2021'!R10&gt;0),IF($C$5&lt;'SA Apr 2021'!P10,0,IF($C$5&lt;=('SA Apr 2021'!R10+'SA Apr 2021'!P10),(($C$5-'SA Apr 2021'!P10)*'SA Apr 2021'!Q10/100),(('SA Apr 2021'!R10)*'SA Apr 2021'!Q10/100))),0)</f>
        <v>0</v>
      </c>
      <c r="F16" s="46">
        <f>IF(AND('SA Apr 2021'!Q10&gt;0,'SA Apr 2021'!S10&gt;0),IF($C$5&lt;('SA Apr 2021'!R10+'SA Apr 2021'!P10),0,IF($C$5&lt;=('SA Apr 2021'!T10+'SA Apr 2021'!R10+'SA Apr 2021'!P10),(($C$5-('SA Apr 2021'!R10+'SA Apr 2021'!P10))*'SA Apr 2021'!S10/100),('SA Apr 2021'!T10*'SA Apr 2021'!S10/100))),0)</f>
        <v>0</v>
      </c>
      <c r="G16" s="50">
        <v>0</v>
      </c>
      <c r="H16" s="46">
        <f>IF(AND('SA Apr 2021'!R10&gt;0,'SA Apr 2021'!T10&gt;0),IF(($C$5&lt;'SA Apr 2021'!T10),(0),($C$5-'SA Apr 2021'!T10)*'SA Apr 2021'!U10/100),IF(AND('SA Apr 2021'!R10&gt;0,'SA Apr 2021'!T10=""),IF(($C$5&lt;'SA Apr 2021'!R10+'SA Apr 2021'!P10),(0),(($C$5-('SA Apr 2021'!R10+'SA Apr 2021'!P10))*'SA Apr 2021'!S10/100)),IF(AND('SA Apr 2021'!P10&gt;0,'SA Apr 2021'!R10=""&gt;0),IF(($C$5&lt;'SA Apr 2021'!P10),(0),($C$5-'SA Apr 2021'!P10)*'SA Apr 2021'!Q10/100),0)))</f>
        <v>0</v>
      </c>
      <c r="I16" s="52">
        <f t="shared" si="10"/>
        <v>1834.2609999999997</v>
      </c>
      <c r="J16" s="109">
        <f t="shared" si="3"/>
        <v>7019.9999999999991</v>
      </c>
      <c r="K16" s="109">
        <f t="shared" si="0"/>
        <v>7337.043999999999</v>
      </c>
      <c r="L16" s="53">
        <f t="shared" si="4"/>
        <v>8070.7483999999995</v>
      </c>
      <c r="M16" s="54">
        <f>'SA Apr 2021'!BB10</f>
        <v>0</v>
      </c>
      <c r="N16" s="54">
        <f>'SA Apr 2021'!BC10</f>
        <v>0</v>
      </c>
      <c r="O16" s="54">
        <f>'SA Apr 2021'!BD10</f>
        <v>0</v>
      </c>
      <c r="P16" s="54">
        <f>'SA Apr 2021'!BE10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7337.043999999999</v>
      </c>
      <c r="T16" s="112">
        <f t="shared" si="8"/>
        <v>7337.043999999999</v>
      </c>
      <c r="U16" s="97">
        <f t="shared" si="6"/>
        <v>8070.7483999999995</v>
      </c>
      <c r="V16" s="98">
        <f t="shared" si="6"/>
        <v>8070.7483999999995</v>
      </c>
      <c r="W16" s="55">
        <f>'SA Apr 2021'!BL10</f>
        <v>0</v>
      </c>
      <c r="X16" s="56" t="str">
        <f>'SA Apr 2021'!BM10</f>
        <v>n</v>
      </c>
      <c r="Y16" s="314"/>
      <c r="Z16" s="314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</row>
    <row r="17" spans="1:44" ht="14" x14ac:dyDescent="0.15">
      <c r="A17" s="70" t="str">
        <f>'SA Apr 2021'!K11</f>
        <v>Simply Energy</v>
      </c>
      <c r="B17" s="49" t="str">
        <f>'SA Apr 2021'!L11</f>
        <v>Business Saver</v>
      </c>
      <c r="C17" s="46">
        <f>IF('SA Apr 2021'!BP11=0,91*'SA Apr 2021'!M11/100,(91*'SA Apr 2021'!M11/100)+'SA Apr 2021'!BP11/4)</f>
        <v>83.769636363636366</v>
      </c>
      <c r="D17" s="46">
        <f>IF('SA Apr 2021'!O11="",$C$5*'SA Apr 2021'!N11/100,IF($C$5&gt;='SA Apr 2021'!P11,('SA Apr 2021'!P11*'SA Apr 2021'!N11/100),($C$5*'SA Apr 2021'!N11/100)))</f>
        <v>1803.6363636363635</v>
      </c>
      <c r="E17" s="46">
        <f>IF(AND('SA Apr 2021'!P11&gt;0,'SA Apr 2021'!R11&gt;0),IF($C$5&lt;'SA Apr 2021'!P11,0,IF($C$5&lt;=('SA Apr 2021'!R11+'SA Apr 2021'!P11),(($C$5-'SA Apr 2021'!P11)*'SA Apr 2021'!Q11/100),(('SA Apr 2021'!R11)*'SA Apr 2021'!Q11/100))),0)</f>
        <v>0</v>
      </c>
      <c r="F17" s="46">
        <f>IF(AND('SA Apr 2021'!Q11&gt;0,'SA Apr 2021'!S11&gt;0),IF($C$5&lt;('SA Apr 2021'!R11+'SA Apr 2021'!P11),0,IF($C$5&lt;=('SA Apr 2021'!T11+'SA Apr 2021'!R11+'SA Apr 2021'!P11),(($C$5-('SA Apr 2021'!R11+'SA Apr 2021'!P11))*'SA Apr 2021'!S11/100),('SA Apr 2021'!T11*'SA Apr 2021'!S11/100))),0)</f>
        <v>0</v>
      </c>
      <c r="G17" s="50">
        <v>0</v>
      </c>
      <c r="H17" s="46">
        <f>IF(AND('SA Apr 2021'!R11&gt;0,'SA Apr 2021'!T11&gt;0),IF(($C$5&lt;'SA Apr 2021'!T11),(0),($C$5-'SA Apr 2021'!T11)*'SA Apr 2021'!U11/100),IF(AND('SA Apr 2021'!R11&gt;0,'SA Apr 2021'!T11=""),IF(($C$5&lt;'SA Apr 2021'!R11+'SA Apr 2021'!P11),(0),(($C$5-('SA Apr 2021'!R11+'SA Apr 2021'!P11))*'SA Apr 2021'!S11/100)),IF(AND('SA Apr 2021'!P11&gt;0,'SA Apr 2021'!R11=""&gt;0),IF(($C$5&lt;'SA Apr 2021'!P11),(0),($C$5-'SA Apr 2021'!P11)*'SA Apr 2021'!Q11/100),0)))</f>
        <v>0</v>
      </c>
      <c r="I17" s="52">
        <f t="shared" si="10"/>
        <v>1887.4059999999999</v>
      </c>
      <c r="J17" s="109">
        <f t="shared" si="3"/>
        <v>7214.545454545454</v>
      </c>
      <c r="K17" s="109">
        <f t="shared" si="0"/>
        <v>7549.6239999999998</v>
      </c>
      <c r="L17" s="53">
        <f t="shared" si="4"/>
        <v>8304.5864000000001</v>
      </c>
      <c r="M17" s="54">
        <f>'SA Apr 2021'!BB11</f>
        <v>11</v>
      </c>
      <c r="N17" s="54">
        <f>'SA Apr 2021'!BC11</f>
        <v>0</v>
      </c>
      <c r="O17" s="54">
        <f>'SA Apr 2021'!BD11</f>
        <v>0</v>
      </c>
      <c r="P17" s="54">
        <f>'SA Apr 2021'!BE11</f>
        <v>0</v>
      </c>
      <c r="Q17" s="110" t="str">
        <f t="shared" si="5"/>
        <v>Guaranteed off bill</v>
      </c>
      <c r="R17" s="73" t="str">
        <f t="shared" si="1"/>
        <v>Exclusive</v>
      </c>
      <c r="S17" s="111">
        <f t="shared" si="7"/>
        <v>6719.16536</v>
      </c>
      <c r="T17" s="112">
        <f t="shared" si="8"/>
        <v>6719.16536</v>
      </c>
      <c r="U17" s="97">
        <f t="shared" si="6"/>
        <v>7391.0818960000006</v>
      </c>
      <c r="V17" s="98">
        <f t="shared" si="6"/>
        <v>7391.0818960000006</v>
      </c>
      <c r="W17" s="55">
        <f>'SA Apr 2021'!BL11</f>
        <v>0</v>
      </c>
      <c r="X17" s="56" t="str">
        <f>'SA Apr 2021'!BM11</f>
        <v>n</v>
      </c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</row>
    <row r="18" spans="1:44" ht="14" x14ac:dyDescent="0.15">
      <c r="A18" s="70" t="str">
        <f>'SA Apr 2021'!K12</f>
        <v>Blue NRG</v>
      </c>
      <c r="B18" s="49" t="str">
        <f>'SA Apr 2021'!L12</f>
        <v>Blue Saver</v>
      </c>
      <c r="C18" s="46">
        <f>IF('SA Apr 2021'!BP12=0,91*'SA Apr 2021'!M12/100,(91*'SA Apr 2021'!M12/100)+'SA Apr 2021'!BP12/4)</f>
        <v>87.045636363636348</v>
      </c>
      <c r="D18" s="46">
        <f>IF('SA Apr 2021'!O12="",$C$5*'SA Apr 2021'!N12/100,IF($C$5&gt;='SA Apr 2021'!P12,('SA Apr 2021'!P12*'SA Apr 2021'!N12/100),($C$5*'SA Apr 2021'!N12/100)))</f>
        <v>682.27272727272725</v>
      </c>
      <c r="E18" s="46">
        <f>IF(AND('SA Apr 2021'!P12&gt;0,'SA Apr 2021'!R12&gt;0),IF($C$5&lt;'SA Apr 2021'!P12,0,IF($C$5&lt;=('SA Apr 2021'!R12+'SA Apr 2021'!P12),(($C$5-'SA Apr 2021'!P12)*'SA Apr 2021'!Q12/100),(('SA Apr 2021'!R12)*'SA Apr 2021'!Q12/100))),0)</f>
        <v>697.72727272727263</v>
      </c>
      <c r="F18" s="46">
        <f>IF(AND('SA Apr 2021'!Q12&gt;0,'SA Apr 2021'!S12&gt;0),IF($C$5&lt;('SA Apr 2021'!R12+'SA Apr 2021'!P12),0,IF($C$5&lt;=('SA Apr 2021'!T12+'SA Apr 2021'!R12+'SA Apr 2021'!P12),(($C$5-('SA Apr 2021'!R12+'SA Apr 2021'!P12))*'SA Apr 2021'!S12/100),('SA Apr 2021'!T12*'SA Apr 2021'!S12/100))),0)</f>
        <v>0</v>
      </c>
      <c r="G18" s="50">
        <v>0</v>
      </c>
      <c r="H18" s="46">
        <f>IF(AND('SA Apr 2021'!R12&gt;0,'SA Apr 2021'!T12&gt;0),IF(($C$5&lt;'SA Apr 2021'!T12),(0),($C$5-'SA Apr 2021'!T12)*'SA Apr 2021'!U12/100),IF(AND('SA Apr 2021'!R12&gt;0,'SA Apr 2021'!T12=""),IF(($C$5&lt;'SA Apr 2021'!R12+'SA Apr 2021'!P12),(0),(($C$5-('SA Apr 2021'!R12+'SA Apr 2021'!P12))*'SA Apr 2021'!S12/100)),IF(AND('SA Apr 2021'!P12&gt;0,'SA Apr 2021'!R12=""&gt;0),IF(($C$5&lt;'SA Apr 2021'!P12),(0),($C$5-'SA Apr 2021'!P12)*'SA Apr 2021'!Q12/100),0)))</f>
        <v>0</v>
      </c>
      <c r="I18" s="52">
        <f t="shared" si="10"/>
        <v>1467.0456363636363</v>
      </c>
      <c r="J18" s="109">
        <f t="shared" si="3"/>
        <v>5520</v>
      </c>
      <c r="K18" s="109">
        <f t="shared" si="0"/>
        <v>5868.1825454545451</v>
      </c>
      <c r="L18" s="53">
        <f t="shared" si="4"/>
        <v>6455.0007999999998</v>
      </c>
      <c r="M18" s="54">
        <f>'SA Apr 2021'!BB12</f>
        <v>0</v>
      </c>
      <c r="N18" s="54">
        <f>'SA Apr 2021'!BC12</f>
        <v>0</v>
      </c>
      <c r="O18" s="54">
        <f>'SA Apr 2021'!BD12</f>
        <v>0</v>
      </c>
      <c r="P18" s="54">
        <f>'SA Apr 2021'!BE12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5868.1825454545451</v>
      </c>
      <c r="T18" s="112">
        <f t="shared" si="8"/>
        <v>5868.1825454545451</v>
      </c>
      <c r="U18" s="97">
        <f t="shared" si="6"/>
        <v>6455.0007999999998</v>
      </c>
      <c r="V18" s="98">
        <f t="shared" si="6"/>
        <v>6455.0007999999998</v>
      </c>
      <c r="W18" s="55">
        <f>'SA Apr 2021'!BL12</f>
        <v>0</v>
      </c>
      <c r="X18" s="56" t="str">
        <f>'SA Apr 2021'!BM12</f>
        <v>n</v>
      </c>
      <c r="Y18" s="309"/>
      <c r="Z18" s="309"/>
      <c r="AA18" s="309"/>
      <c r="AB18" s="309"/>
      <c r="AC18" s="309"/>
      <c r="AD18" s="309"/>
      <c r="AE18" s="309"/>
      <c r="AF18" s="309"/>
      <c r="AG18" s="309"/>
      <c r="AH18" s="309"/>
      <c r="AI18" s="309"/>
      <c r="AJ18" s="309"/>
      <c r="AK18" s="309"/>
      <c r="AL18" s="309"/>
      <c r="AM18" s="309"/>
      <c r="AN18" s="309"/>
      <c r="AO18" s="309"/>
      <c r="AP18" s="309"/>
      <c r="AQ18" s="309"/>
      <c r="AR18" s="309"/>
    </row>
    <row r="19" spans="1:44" ht="14" x14ac:dyDescent="0.15">
      <c r="A19" s="70" t="str">
        <f>'SA Apr 2021'!K13</f>
        <v>Powershop</v>
      </c>
      <c r="B19" s="49" t="str">
        <f>'SA Apr 2021'!L13</f>
        <v>Shopper with Mega Pack</v>
      </c>
      <c r="C19" s="46">
        <f>IF('SA Apr 2021'!BP13=0,91*'SA Apr 2021'!M13/100,(91*'SA Apr 2021'!M13/100)+'SA Apr 2021'!BP13/4)</f>
        <v>109.82045454545454</v>
      </c>
      <c r="D19" s="46">
        <f>IF('SA Apr 2021'!O13="",$C$5*'SA Apr 2021'!N13/100,IF($C$5&gt;='SA Apr 2021'!P13,('SA Apr 2021'!P13*'SA Apr 2021'!N13/100),($C$5*'SA Apr 2021'!N13/100)))</f>
        <v>1689.5454545454545</v>
      </c>
      <c r="E19" s="46">
        <f>IF(AND('SA Apr 2021'!P13&gt;0,'SA Apr 2021'!R13&gt;0),IF($C$5&lt;'SA Apr 2021'!P13,0,IF($C$5&lt;=('SA Apr 2021'!R13+'SA Apr 2021'!P13),(($C$5-'SA Apr 2021'!P13)*'SA Apr 2021'!Q13/100),(('SA Apr 2021'!R13)*'SA Apr 2021'!Q13/100))),0)</f>
        <v>0</v>
      </c>
      <c r="F19" s="46">
        <f>IF(AND('SA Apr 2021'!Q13&gt;0,'SA Apr 2021'!S13&gt;0),IF($C$5&lt;('SA Apr 2021'!R13+'SA Apr 2021'!P13),0,IF($C$5&lt;=('SA Apr 2021'!T13+'SA Apr 2021'!R13+'SA Apr 2021'!P13),(($C$5-('SA Apr 2021'!R13+'SA Apr 2021'!P13))*'SA Apr 2021'!S13/100),('SA Apr 2021'!T13*'SA Apr 2021'!S13/100))),0)</f>
        <v>0</v>
      </c>
      <c r="G19" s="50">
        <v>0</v>
      </c>
      <c r="H19" s="46">
        <f>IF(AND('SA Apr 2021'!R13&gt;0,'SA Apr 2021'!T13&gt;0),IF(($C$5&lt;'SA Apr 2021'!T13),(0),($C$5-'SA Apr 2021'!T13)*'SA Apr 2021'!U13/100),IF(AND('SA Apr 2021'!R13&gt;0,'SA Apr 2021'!T13=""),IF(($C$5&lt;'SA Apr 2021'!R13+'SA Apr 2021'!P13),(0),(($C$5-('SA Apr 2021'!R13+'SA Apr 2021'!P13))*'SA Apr 2021'!S13/100)),IF(AND('SA Apr 2021'!P13&gt;0,'SA Apr 2021'!R13=""&gt;0),IF(($C$5&lt;'SA Apr 2021'!P13),(0),($C$5-'SA Apr 2021'!P13)*'SA Apr 2021'!Q13/100),0)))</f>
        <v>0</v>
      </c>
      <c r="I19" s="52">
        <f t="shared" si="10"/>
        <v>1799.3659090909091</v>
      </c>
      <c r="J19" s="109">
        <f t="shared" si="3"/>
        <v>6758.181818181818</v>
      </c>
      <c r="K19" s="109">
        <f t="shared" si="0"/>
        <v>7197.4636363636364</v>
      </c>
      <c r="L19" s="53">
        <f t="shared" si="4"/>
        <v>7917.2100000000009</v>
      </c>
      <c r="M19" s="54">
        <f>'SA Apr 2021'!BB13</f>
        <v>0</v>
      </c>
      <c r="N19" s="54">
        <f>'SA Apr 2021'!BC13</f>
        <v>0</v>
      </c>
      <c r="O19" s="54">
        <f>'SA Apr 2021'!BD13</f>
        <v>6</v>
      </c>
      <c r="P19" s="54">
        <f>'SA Apr 2021'!BE13</f>
        <v>0</v>
      </c>
      <c r="Q19" s="110" t="str">
        <f t="shared" si="5"/>
        <v>Pay-on-time off bill</v>
      </c>
      <c r="R19" s="73" t="str">
        <f t="shared" si="1"/>
        <v>Inclusive</v>
      </c>
      <c r="S19" s="111">
        <f t="shared" si="7"/>
        <v>7197.4636363636364</v>
      </c>
      <c r="T19" s="112">
        <f t="shared" si="8"/>
        <v>6765.6158181818182</v>
      </c>
      <c r="U19" s="97">
        <f t="shared" si="6"/>
        <v>7917.2100000000009</v>
      </c>
      <c r="V19" s="98">
        <f t="shared" si="6"/>
        <v>7442.1774000000005</v>
      </c>
      <c r="W19" s="55">
        <f>'SA Apr 2021'!BL13</f>
        <v>0</v>
      </c>
      <c r="X19" s="56" t="str">
        <f>'SA Apr 2021'!BM13</f>
        <v>n</v>
      </c>
      <c r="Y19" s="314"/>
      <c r="Z19" s="314"/>
      <c r="AA19" s="314"/>
      <c r="AB19" s="314"/>
      <c r="AC19" s="314"/>
      <c r="AD19" s="314"/>
      <c r="AE19" s="314"/>
      <c r="AF19" s="314"/>
      <c r="AG19" s="314"/>
      <c r="AH19" s="314"/>
      <c r="AI19" s="314"/>
      <c r="AJ19" s="314"/>
      <c r="AK19" s="314"/>
      <c r="AL19" s="314"/>
      <c r="AM19" s="314"/>
      <c r="AN19" s="314"/>
      <c r="AO19" s="314"/>
      <c r="AP19" s="314"/>
      <c r="AQ19" s="314"/>
      <c r="AR19" s="314"/>
    </row>
    <row r="20" spans="1:44" ht="14" x14ac:dyDescent="0.15">
      <c r="A20" s="70" t="str">
        <f>'SA Apr 2021'!K14</f>
        <v>Powerclub</v>
      </c>
      <c r="B20" s="49" t="str">
        <f>'SA Apr 2021'!L14</f>
        <v>Bis Flat</v>
      </c>
      <c r="C20" s="46">
        <f>IF('SA Apr 2021'!BP14=0,91*'SA Apr 2021'!M14/100,(91*'SA Apr 2021'!M14/100)+'SA Apr 2021'!BP14/4)</f>
        <v>93.505181818181825</v>
      </c>
      <c r="D20" s="46">
        <f>IF('SA Apr 2021'!O14="",$C$5*'SA Apr 2021'!N14/100,IF($C$5&gt;='SA Apr 2021'!P14,('SA Apr 2021'!P14*'SA Apr 2021'!N14/100),($C$5*'SA Apr 2021'!N14/100)))</f>
        <v>1263.6363636363635</v>
      </c>
      <c r="E20" s="46">
        <f>IF(AND('SA Apr 2021'!P14&gt;0,'SA Apr 2021'!R14&gt;0),IF($C$5&lt;'SA Apr 2021'!P14,0,IF($C$5&lt;=('SA Apr 2021'!R14+'SA Apr 2021'!P14),(($C$5-'SA Apr 2021'!P14)*'SA Apr 2021'!Q14/100),(('SA Apr 2021'!R14)*'SA Apr 2021'!Q14/100))),0)</f>
        <v>0</v>
      </c>
      <c r="F20" s="46">
        <f>IF(AND('SA Apr 2021'!Q14&gt;0,'SA Apr 2021'!S14&gt;0),IF($C$5&lt;('SA Apr 2021'!R14+'SA Apr 2021'!P14),0,IF($C$5&lt;=('SA Apr 2021'!T14+'SA Apr 2021'!R14+'SA Apr 2021'!P14),(($C$5-('SA Apr 2021'!R14+'SA Apr 2021'!P14))*'SA Apr 2021'!S14/100),('SA Apr 2021'!T14*'SA Apr 2021'!S14/100))),0)</f>
        <v>0</v>
      </c>
      <c r="G20" s="50">
        <v>0</v>
      </c>
      <c r="H20" s="46">
        <f>IF(AND('SA Apr 2021'!R14&gt;0,'SA Apr 2021'!T14&gt;0),IF(($C$5&lt;'SA Apr 2021'!T14),(0),($C$5-'SA Apr 2021'!T14)*'SA Apr 2021'!U14/100),IF(AND('SA Apr 2021'!R14&gt;0,'SA Apr 2021'!T14=""),IF(($C$5&lt;'SA Apr 2021'!R14+'SA Apr 2021'!P14),(0),(($C$5-('SA Apr 2021'!R14+'SA Apr 2021'!P14))*'SA Apr 2021'!S14/100)),IF(AND('SA Apr 2021'!P14&gt;0,'SA Apr 2021'!R14=""&gt;0),IF(($C$5&lt;'SA Apr 2021'!P14),(0),($C$5-'SA Apr 2021'!P14)*'SA Apr 2021'!Q14/100),0)))</f>
        <v>0</v>
      </c>
      <c r="I20" s="52">
        <f t="shared" si="10"/>
        <v>1357.1415454545454</v>
      </c>
      <c r="J20" s="109">
        <f t="shared" si="3"/>
        <v>5054.545454545454</v>
      </c>
      <c r="K20" s="109">
        <f t="shared" si="0"/>
        <v>5428.5661818181816</v>
      </c>
      <c r="L20" s="53">
        <f t="shared" si="4"/>
        <v>5971.4228000000003</v>
      </c>
      <c r="M20" s="54">
        <f>'SA Apr 2021'!BB14</f>
        <v>0</v>
      </c>
      <c r="N20" s="54">
        <f>'SA Apr 2021'!BC14</f>
        <v>0</v>
      </c>
      <c r="O20" s="54">
        <f>'SA Apr 2021'!BD14</f>
        <v>0</v>
      </c>
      <c r="P20" s="54">
        <f>'SA Apr 2021'!BE14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5428.5661818181816</v>
      </c>
      <c r="T20" s="112">
        <f t="shared" si="8"/>
        <v>5428.5661818181816</v>
      </c>
      <c r="U20" s="97">
        <f t="shared" si="6"/>
        <v>5971.4228000000003</v>
      </c>
      <c r="V20" s="98">
        <f t="shared" si="6"/>
        <v>5971.4228000000003</v>
      </c>
      <c r="W20" s="55">
        <f>'SA Apr 2021'!BL14</f>
        <v>0</v>
      </c>
      <c r="X20" s="56">
        <f>'SA Apr 2021'!BM14</f>
        <v>0</v>
      </c>
      <c r="Y20" s="314"/>
      <c r="Z20" s="314"/>
      <c r="AA20" s="314"/>
      <c r="AB20" s="314"/>
      <c r="AC20" s="314"/>
      <c r="AD20" s="314"/>
      <c r="AE20" s="314"/>
      <c r="AF20" s="314"/>
      <c r="AG20" s="314"/>
      <c r="AH20" s="314"/>
      <c r="AI20" s="314"/>
      <c r="AJ20" s="314"/>
      <c r="AK20" s="314"/>
      <c r="AL20" s="314"/>
      <c r="AM20" s="314"/>
      <c r="AN20" s="314"/>
      <c r="AO20" s="314"/>
      <c r="AP20" s="314"/>
      <c r="AQ20" s="314"/>
      <c r="AR20" s="314"/>
    </row>
    <row r="21" spans="1:44" ht="14" x14ac:dyDescent="0.15">
      <c r="A21" s="70" t="str">
        <f>'SA Apr 2021'!K15</f>
        <v>Energy Locals</v>
      </c>
      <c r="B21" s="73" t="str">
        <f>'SA Apr 2021'!L15</f>
        <v>Business Member</v>
      </c>
      <c r="C21" s="46">
        <f>IF('SA Apr 2021'!BP15=0,91*'SA Apr 2021'!M15/100,(91*'SA Apr 2021'!M15/100)+'SA Apr 2021'!BP15/4)</f>
        <v>113.26281818181815</v>
      </c>
      <c r="D21" s="46">
        <f>IF('SA Apr 2021'!O15="",$C$5*'SA Apr 2021'!N15/100,IF($C$5&gt;='SA Apr 2021'!P15,('SA Apr 2021'!P15*'SA Apr 2021'!N15/100),($C$5*'SA Apr 2021'!N15/100)))</f>
        <v>1318.181818181818</v>
      </c>
      <c r="E21" s="46">
        <f>IF(AND('SA Apr 2021'!P15&gt;0,'SA Apr 2021'!R15&gt;0),IF($C$5&lt;'SA Apr 2021'!P15,0,IF($C$5&lt;=('SA Apr 2021'!R15+'SA Apr 2021'!P15),(($C$5-'SA Apr 2021'!P15)*'SA Apr 2021'!Q15/100),(('SA Apr 2021'!R15)*'SA Apr 2021'!Q15/100))),0)</f>
        <v>0</v>
      </c>
      <c r="F21" s="46">
        <f>IF(AND('SA Apr 2021'!Q15&gt;0,'SA Apr 2021'!S15&gt;0),IF($C$5&lt;('SA Apr 2021'!R15+'SA Apr 2021'!P15),0,IF($C$5&lt;=('SA Apr 2021'!T15+'SA Apr 2021'!R15+'SA Apr 2021'!P15),(($C$5-('SA Apr 2021'!R15+'SA Apr 2021'!P15))*'SA Apr 2021'!S15/100),('SA Apr 2021'!T15*'SA Apr 2021'!S15/100))),0)</f>
        <v>0</v>
      </c>
      <c r="G21" s="50">
        <v>0</v>
      </c>
      <c r="H21" s="46">
        <f>IF(AND('SA Apr 2021'!R15&gt;0,'SA Apr 2021'!T15&gt;0),IF(($C$5&lt;'SA Apr 2021'!T15),(0),($C$5-'SA Apr 2021'!T15)*'SA Apr 2021'!U15/100),IF(AND('SA Apr 2021'!R15&gt;0,'SA Apr 2021'!T15=""),IF(($C$5&lt;'SA Apr 2021'!R15+'SA Apr 2021'!P15),(0),(($C$5-('SA Apr 2021'!R15+'SA Apr 2021'!P15))*'SA Apr 2021'!S15/100)),IF(AND('SA Apr 2021'!P15&gt;0,'SA Apr 2021'!R15=""&gt;0),IF(($C$5&lt;'SA Apr 2021'!P15),(0),($C$5-'SA Apr 2021'!P15)*'SA Apr 2021'!Q15/100),0)))</f>
        <v>0</v>
      </c>
      <c r="I21" s="52">
        <f t="shared" si="10"/>
        <v>1431.4446363636362</v>
      </c>
      <c r="J21" s="111">
        <f t="shared" si="3"/>
        <v>5272.7272727272721</v>
      </c>
      <c r="K21" s="112">
        <f t="shared" si="0"/>
        <v>5725.7785454545447</v>
      </c>
      <c r="L21" s="53">
        <f t="shared" si="4"/>
        <v>6298.3563999999997</v>
      </c>
      <c r="M21" s="54">
        <f>'SA Apr 2021'!BB15</f>
        <v>0</v>
      </c>
      <c r="N21" s="54">
        <f>'SA Apr 2021'!BC15</f>
        <v>0</v>
      </c>
      <c r="O21" s="54">
        <f>'SA Apr 2021'!BD15</f>
        <v>0</v>
      </c>
      <c r="P21" s="54">
        <f>'SA Apr 2021'!BE15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5725.7785454545447</v>
      </c>
      <c r="T21" s="112">
        <f t="shared" si="8"/>
        <v>5725.7785454545447</v>
      </c>
      <c r="U21" s="97">
        <f t="shared" si="6"/>
        <v>6298.3563999999997</v>
      </c>
      <c r="V21" s="98">
        <f t="shared" si="6"/>
        <v>6298.3563999999997</v>
      </c>
      <c r="W21" s="55">
        <f>'SA Apr 2021'!BL15</f>
        <v>0</v>
      </c>
      <c r="X21" s="56" t="str">
        <f>'SA Apr 2021'!BM15</f>
        <v>n</v>
      </c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</row>
    <row r="22" spans="1:44" ht="14" x14ac:dyDescent="0.15">
      <c r="A22" s="70" t="str">
        <f>'SA Apr 2021'!K16</f>
        <v>Future X Power</v>
      </c>
      <c r="B22" s="73" t="str">
        <f>'SA Apr 2021'!L16</f>
        <v>Business Smart</v>
      </c>
      <c r="C22" s="46">
        <f>IF('SA Apr 2021'!BP16=0,91*'SA Apr 2021'!M16/100,(91*'SA Apr 2021'!M16/100)+'SA Apr 2021'!BP16/4)</f>
        <v>78.077999999999989</v>
      </c>
      <c r="D22" s="46">
        <f>IF('SA Apr 2021'!O16="",$C$5*'SA Apr 2021'!N16/100,IF($C$5&gt;='SA Apr 2021'!P16,('SA Apr 2021'!P16*'SA Apr 2021'!N16/100),($C$5*'SA Apr 2021'!N16/100)))</f>
        <v>1520.909090909091</v>
      </c>
      <c r="E22" s="46">
        <f>IF(AND('SA Apr 2021'!P16&gt;0,'SA Apr 2021'!R16&gt;0),IF($C$5&lt;'SA Apr 2021'!P16,0,IF($C$5&lt;=('SA Apr 2021'!R16+'SA Apr 2021'!P16),(($C$5-'SA Apr 2021'!P16)*'SA Apr 2021'!Q16/100),(('SA Apr 2021'!R16)*'SA Apr 2021'!Q16/100))),0)</f>
        <v>0</v>
      </c>
      <c r="F22" s="46">
        <f>IF(AND('SA Apr 2021'!Q16&gt;0,'SA Apr 2021'!S16&gt;0),IF($C$5&lt;('SA Apr 2021'!R16+'SA Apr 2021'!P16),0,IF($C$5&lt;=('SA Apr 2021'!T16+'SA Apr 2021'!R16+'SA Apr 2021'!P16),(($C$5-('SA Apr 2021'!R16+'SA Apr 2021'!P16))*'SA Apr 2021'!S16/100),('SA Apr 2021'!T16*'SA Apr 2021'!S16/100))),0)</f>
        <v>0</v>
      </c>
      <c r="G22" s="50">
        <v>0</v>
      </c>
      <c r="H22" s="46">
        <f>IF(AND('SA Apr 2021'!R16&gt;0,'SA Apr 2021'!T16&gt;0),IF(($C$5&lt;'SA Apr 2021'!T16),(0),($C$5-'SA Apr 2021'!T16)*'SA Apr 2021'!U16/100),IF(AND('SA Apr 2021'!R16&gt;0,'SA Apr 2021'!T16=""),IF(($C$5&lt;'SA Apr 2021'!R16+'SA Apr 2021'!P16),(0),(($C$5-('SA Apr 2021'!R16+'SA Apr 2021'!P16))*'SA Apr 2021'!S16/100)),IF(AND('SA Apr 2021'!P16&gt;0,'SA Apr 2021'!R16=""&gt;0),IF(($C$5&lt;'SA Apr 2021'!P16),(0),($C$5-'SA Apr 2021'!P16)*'SA Apr 2021'!Q16/100),0)))</f>
        <v>0</v>
      </c>
      <c r="I22" s="52">
        <f t="shared" si="10"/>
        <v>1598.987090909091</v>
      </c>
      <c r="J22" s="111">
        <f t="shared" si="3"/>
        <v>6083.636363636364</v>
      </c>
      <c r="K22" s="112">
        <f t="shared" si="0"/>
        <v>6395.9483636363639</v>
      </c>
      <c r="L22" s="53">
        <f t="shared" si="4"/>
        <v>7035.543200000001</v>
      </c>
      <c r="M22" s="54">
        <f>'SA Apr 2021'!BB16</f>
        <v>0</v>
      </c>
      <c r="N22" s="54">
        <f>'SA Apr 2021'!BC16</f>
        <v>0</v>
      </c>
      <c r="O22" s="54">
        <f>'SA Apr 2021'!BD16</f>
        <v>0</v>
      </c>
      <c r="P22" s="54">
        <f>'SA Apr 2021'!BE16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6395.9483636363639</v>
      </c>
      <c r="T22" s="112">
        <f t="shared" si="8"/>
        <v>6395.9483636363639</v>
      </c>
      <c r="U22" s="97">
        <f t="shared" si="6"/>
        <v>7035.543200000001</v>
      </c>
      <c r="V22" s="98">
        <f t="shared" si="6"/>
        <v>7035.543200000001</v>
      </c>
      <c r="W22" s="55">
        <f>'SA Apr 2021'!BL16</f>
        <v>0</v>
      </c>
      <c r="X22" s="56" t="str">
        <f>'SA Apr 2021'!BM16</f>
        <v>n</v>
      </c>
      <c r="Y22" s="314"/>
      <c r="Z22" s="314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</row>
    <row r="23" spans="1:44" ht="14" x14ac:dyDescent="0.15">
      <c r="A23" s="70" t="str">
        <f>'SA Apr 2021'!K17</f>
        <v>Discover Energy</v>
      </c>
      <c r="B23" s="73" t="str">
        <f>'SA Apr 2021'!L17</f>
        <v>Business Smart Saver</v>
      </c>
      <c r="C23" s="46">
        <f>IF('SA Apr 2021'!BP17=0,91*'SA Apr 2021'!M17/100,(91*'SA Apr 2021'!M17/100)+'SA Apr 2021'!BP17/4)</f>
        <v>68.25</v>
      </c>
      <c r="D23" s="46">
        <f>IF('SA Apr 2021'!O17="",$C$5*'SA Apr 2021'!N17/100,IF($C$5&gt;='SA Apr 2021'!P17,('SA Apr 2021'!P17*'SA Apr 2021'!N17/100),($C$5*'SA Apr 2021'!N17/100)))</f>
        <v>1819.090909090909</v>
      </c>
      <c r="E23" s="46">
        <f>IF(AND('SA Apr 2021'!P17&gt;0,'SA Apr 2021'!R17&gt;0),IF($C$5&lt;'SA Apr 2021'!P17,0,IF($C$5&lt;=('SA Apr 2021'!R17+'SA Apr 2021'!P17),(($C$5-'SA Apr 2021'!P17)*'SA Apr 2021'!Q17/100),(('SA Apr 2021'!R17)*'SA Apr 2021'!Q17/100))),0)</f>
        <v>0</v>
      </c>
      <c r="F23" s="46">
        <f>IF(AND('SA Apr 2021'!Q17&gt;0,'SA Apr 2021'!S17&gt;0),IF($C$5&lt;('SA Apr 2021'!R17+'SA Apr 2021'!P17),0,IF($C$5&lt;=('SA Apr 2021'!T17+'SA Apr 2021'!R17+'SA Apr 2021'!P17),(($C$5-('SA Apr 2021'!R17+'SA Apr 2021'!P17))*'SA Apr 2021'!S17/100),('SA Apr 2021'!T17*'SA Apr 2021'!S17/100))),0)</f>
        <v>0</v>
      </c>
      <c r="G23" s="50">
        <v>0</v>
      </c>
      <c r="H23" s="46">
        <f>IF(AND('SA Apr 2021'!R17&gt;0,'SA Apr 2021'!T17&gt;0),IF(($C$5&lt;'SA Apr 2021'!T17),(0),($C$5-'SA Apr 2021'!T17)*'SA Apr 2021'!U17/100),IF(AND('SA Apr 2021'!R17&gt;0,'SA Apr 2021'!T17=""),IF(($C$5&lt;'SA Apr 2021'!R17+'SA Apr 2021'!P17),(0),(($C$5-('SA Apr 2021'!R17+'SA Apr 2021'!P17))*'SA Apr 2021'!S17/100)),IF(AND('SA Apr 2021'!P17&gt;0,'SA Apr 2021'!R17=""&gt;0),IF(($C$5&lt;'SA Apr 2021'!P17),(0),($C$5-'SA Apr 2021'!P17)*'SA Apr 2021'!Q17/100),0)))</f>
        <v>0</v>
      </c>
      <c r="I23" s="52">
        <f t="shared" ref="I23" si="11">SUM(C23:H23)</f>
        <v>1887.340909090909</v>
      </c>
      <c r="J23" s="111">
        <f t="shared" si="3"/>
        <v>7276.363636363636</v>
      </c>
      <c r="K23" s="112">
        <f t="shared" si="0"/>
        <v>7549.363636363636</v>
      </c>
      <c r="L23" s="53">
        <f t="shared" si="4"/>
        <v>8304.3000000000011</v>
      </c>
      <c r="M23" s="54">
        <f>'SA Apr 2021'!BB17</f>
        <v>0</v>
      </c>
      <c r="N23" s="54">
        <f>'SA Apr 2021'!BC17</f>
        <v>15</v>
      </c>
      <c r="O23" s="54">
        <f>'SA Apr 2021'!BD17</f>
        <v>0</v>
      </c>
      <c r="P23" s="54">
        <f>'SA Apr 2021'!BE17</f>
        <v>0</v>
      </c>
      <c r="Q23" s="110" t="str">
        <f t="shared" si="5"/>
        <v>Guaranteed off usage</v>
      </c>
      <c r="R23" s="73" t="str">
        <f t="shared" si="1"/>
        <v>Exclusive</v>
      </c>
      <c r="S23" s="111">
        <f t="shared" si="7"/>
        <v>6457.9090909090901</v>
      </c>
      <c r="T23" s="112">
        <f t="shared" si="8"/>
        <v>6457.9090909090901</v>
      </c>
      <c r="U23" s="97">
        <f t="shared" ref="U23:V26" si="12">S23*1.1</f>
        <v>7103.7</v>
      </c>
      <c r="V23" s="98">
        <f t="shared" si="12"/>
        <v>7103.7</v>
      </c>
      <c r="W23" s="55">
        <f>'SA Apr 2021'!BL17</f>
        <v>0</v>
      </c>
      <c r="X23" s="56" t="str">
        <f>'SA Apr 2021'!BM17</f>
        <v>n</v>
      </c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</row>
    <row r="24" spans="1:44" ht="14" x14ac:dyDescent="0.15">
      <c r="A24" s="70" t="str">
        <f>'SA Apr 2021'!K18</f>
        <v>Next Business Energy</v>
      </c>
      <c r="B24" s="73" t="str">
        <f>'SA Apr 2021'!L18</f>
        <v>Assured</v>
      </c>
      <c r="C24" s="46">
        <f>IF('SA Apr 2021'!BP18=0,91*'SA Apr 2021'!M18/100,(91*'SA Apr 2021'!M18/100)+'SA Apr 2021'!BP18/4)</f>
        <v>78.168999999999997</v>
      </c>
      <c r="D24" s="46">
        <f>IF('SA Apr 2021'!O18="",$C$5*'SA Apr 2021'!N18/100,IF($C$5&gt;='SA Apr 2021'!P18,('SA Apr 2021'!P18*'SA Apr 2021'!N18/100),($C$5*'SA Apr 2021'!N18/100)))</f>
        <v>1350</v>
      </c>
      <c r="E24" s="46">
        <f>IF(AND('SA Apr 2021'!P18&gt;0,'SA Apr 2021'!R18&gt;0),IF($C$5&lt;'SA Apr 2021'!P18,0,IF($C$5&lt;=('SA Apr 2021'!R18+'SA Apr 2021'!P18),(($C$5-'SA Apr 2021'!P18)*'SA Apr 2021'!Q18/100),(('SA Apr 2021'!R18)*'SA Apr 2021'!Q18/100))),0)</f>
        <v>0</v>
      </c>
      <c r="F24" s="46">
        <f>IF(AND('SA Apr 2021'!Q18&gt;0,'SA Apr 2021'!S18&gt;0),IF($C$5&lt;('SA Apr 2021'!R18+'SA Apr 2021'!P18),0,IF($C$5&lt;=('SA Apr 2021'!T18+'SA Apr 2021'!R18+'SA Apr 2021'!P18),(($C$5-('SA Apr 2021'!R18+'SA Apr 2021'!P18))*'SA Apr 2021'!S18/100),('SA Apr 2021'!T18*'SA Apr 2021'!S18/100))),0)</f>
        <v>0</v>
      </c>
      <c r="G24" s="50">
        <v>0</v>
      </c>
      <c r="H24" s="46">
        <f>IF(AND('SA Apr 2021'!R18&gt;0,'SA Apr 2021'!T18&gt;0),IF(($C$5&lt;'SA Apr 2021'!T18),(0),($C$5-'SA Apr 2021'!T18)*'SA Apr 2021'!U18/100),IF(AND('SA Apr 2021'!R18&gt;0,'SA Apr 2021'!T18=""),IF(($C$5&lt;'SA Apr 2021'!R18+'SA Apr 2021'!P18),(0),(($C$5-('SA Apr 2021'!R18+'SA Apr 2021'!P18))*'SA Apr 2021'!S18/100)),IF(AND('SA Apr 2021'!P18&gt;0,'SA Apr 2021'!R18=""&gt;0),IF(($C$5&lt;'SA Apr 2021'!P18),(0),($C$5-'SA Apr 2021'!P18)*'SA Apr 2021'!Q18/100),0)))</f>
        <v>0</v>
      </c>
      <c r="I24" s="52">
        <f t="shared" ref="I24" si="13">SUM(C24:H24)</f>
        <v>1428.1690000000001</v>
      </c>
      <c r="J24" s="111">
        <f t="shared" si="3"/>
        <v>5400</v>
      </c>
      <c r="K24" s="112">
        <f t="shared" si="0"/>
        <v>5712.6760000000004</v>
      </c>
      <c r="L24" s="53">
        <f t="shared" si="4"/>
        <v>6283.9436000000005</v>
      </c>
      <c r="M24" s="54">
        <f>'SA Apr 2021'!BB18</f>
        <v>0</v>
      </c>
      <c r="N24" s="54">
        <f>'SA Apr 2021'!BC18</f>
        <v>0</v>
      </c>
      <c r="O24" s="54">
        <f>'SA Apr 2021'!BD18</f>
        <v>0</v>
      </c>
      <c r="P24" s="54">
        <f>'SA Apr 2021'!BE18</f>
        <v>0</v>
      </c>
      <c r="Q24" s="110" t="str">
        <f t="shared" si="5"/>
        <v>No discount</v>
      </c>
      <c r="R24" s="73" t="str">
        <f t="shared" si="1"/>
        <v>Exclusive</v>
      </c>
      <c r="S24" s="111">
        <f t="shared" si="7"/>
        <v>5712.6760000000004</v>
      </c>
      <c r="T24" s="112">
        <f t="shared" si="8"/>
        <v>5712.6760000000004</v>
      </c>
      <c r="U24" s="97">
        <f t="shared" si="12"/>
        <v>6283.9436000000005</v>
      </c>
      <c r="V24" s="98">
        <f t="shared" si="12"/>
        <v>6283.9436000000005</v>
      </c>
      <c r="W24" s="55">
        <f>'SA Apr 2021'!BL18</f>
        <v>0</v>
      </c>
      <c r="X24" s="56" t="str">
        <f>'SA Apr 2021'!BM18</f>
        <v>n</v>
      </c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</row>
    <row r="25" spans="1:44" ht="14" x14ac:dyDescent="0.15">
      <c r="A25" s="70" t="str">
        <f>'SA Apr 2021'!K19</f>
        <v>QEnergy</v>
      </c>
      <c r="B25" s="73" t="str">
        <f>'SA Apr 2021'!L19</f>
        <v>Biz your Way</v>
      </c>
      <c r="C25" s="46">
        <f>IF('SA Apr 2021'!BP19=0,91*'SA Apr 2021'!M19/100,(91*'SA Apr 2021'!M19/100)+'SA Apr 2021'!BP19/4)</f>
        <v>97.014272727272711</v>
      </c>
      <c r="D25" s="46">
        <f>IF('SA Apr 2021'!O19="",$C$5*'SA Apr 2021'!N19/100,IF($C$5&gt;='SA Apr 2021'!P19,('SA Apr 2021'!P19*'SA Apr 2021'!N19/100),($C$5*'SA Apr 2021'!N19/100)))</f>
        <v>1790</v>
      </c>
      <c r="E25" s="46">
        <f>IF(AND('SA Apr 2021'!P19&gt;0,'SA Apr 2021'!R19&gt;0),IF($C$5&lt;'SA Apr 2021'!P19,0,IF($C$5&lt;=('SA Apr 2021'!R19+'SA Apr 2021'!P19),(($C$5-'SA Apr 2021'!P19)*'SA Apr 2021'!Q19/100),(('SA Apr 2021'!R19)*'SA Apr 2021'!Q19/100))),0)</f>
        <v>0</v>
      </c>
      <c r="F25" s="46">
        <f>IF(AND('SA Apr 2021'!Q19&gt;0,'SA Apr 2021'!S19&gt;0),IF($C$5&lt;('SA Apr 2021'!R19+'SA Apr 2021'!P19),0,IF($C$5&lt;=('SA Apr 2021'!T19+'SA Apr 2021'!R19+'SA Apr 2021'!P19),(($C$5-('SA Apr 2021'!R19+'SA Apr 2021'!P19))*'SA Apr 2021'!S19/100),('SA Apr 2021'!T19*'SA Apr 2021'!S19/100))),0)</f>
        <v>0</v>
      </c>
      <c r="G25" s="50">
        <v>0</v>
      </c>
      <c r="H25" s="46">
        <f>IF(AND('SA Apr 2021'!R19&gt;0,'SA Apr 2021'!T19&gt;0),IF(($C$5&lt;'SA Apr 2021'!T19),(0),($C$5-'SA Apr 2021'!T19)*'SA Apr 2021'!U19/100),IF(AND('SA Apr 2021'!R19&gt;0,'SA Apr 2021'!T19=""),IF(($C$5&lt;'SA Apr 2021'!R19+'SA Apr 2021'!P19),(0),(($C$5-('SA Apr 2021'!R19+'SA Apr 2021'!P19))*'SA Apr 2021'!S19/100)),IF(AND('SA Apr 2021'!P19&gt;0,'SA Apr 2021'!R19=""&gt;0),IF(($C$5&lt;'SA Apr 2021'!P19),(0),($C$5-'SA Apr 2021'!P19)*'SA Apr 2021'!Q19/100),0)))</f>
        <v>0</v>
      </c>
      <c r="I25" s="52">
        <f t="shared" ref="I25" si="14">SUM(C25:H25)</f>
        <v>1887.0142727272728</v>
      </c>
      <c r="J25" s="111">
        <f t="shared" si="3"/>
        <v>7160</v>
      </c>
      <c r="K25" s="112">
        <f t="shared" si="0"/>
        <v>7548.0570909090911</v>
      </c>
      <c r="L25" s="53">
        <f t="shared" si="4"/>
        <v>8302.8628000000008</v>
      </c>
      <c r="M25" s="54">
        <f>'SA Apr 2021'!BB19</f>
        <v>0</v>
      </c>
      <c r="N25" s="54">
        <f>'SA Apr 2021'!BC19</f>
        <v>0</v>
      </c>
      <c r="O25" s="54">
        <f>'SA Apr 2021'!BD19</f>
        <v>0</v>
      </c>
      <c r="P25" s="54">
        <f>'SA Apr 2021'!BE19</f>
        <v>0</v>
      </c>
      <c r="Q25" s="110" t="str">
        <f t="shared" si="5"/>
        <v>No discount</v>
      </c>
      <c r="R25" s="73" t="str">
        <f t="shared" si="1"/>
        <v>Exclusive</v>
      </c>
      <c r="S25" s="111">
        <f t="shared" si="7"/>
        <v>7548.0570909090911</v>
      </c>
      <c r="T25" s="112">
        <f t="shared" si="8"/>
        <v>7548.0570909090911</v>
      </c>
      <c r="U25" s="97">
        <f t="shared" si="12"/>
        <v>8302.8628000000008</v>
      </c>
      <c r="V25" s="98">
        <f t="shared" si="12"/>
        <v>8302.8628000000008</v>
      </c>
      <c r="W25" s="55">
        <f>'SA Apr 2021'!BL19</f>
        <v>0</v>
      </c>
      <c r="X25" s="56" t="str">
        <f>'SA Apr 2021'!BM19</f>
        <v>n</v>
      </c>
      <c r="Y25" s="314"/>
      <c r="Z25" s="314"/>
      <c r="AA25" s="314"/>
      <c r="AB25" s="314"/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</row>
    <row r="26" spans="1:44" ht="14" x14ac:dyDescent="0.15">
      <c r="A26" s="70" t="str">
        <f>'SA Apr 2021'!K20</f>
        <v>ReAmped Energy</v>
      </c>
      <c r="B26" s="73" t="str">
        <f>'SA Apr 2021'!L20</f>
        <v>ReAmped Business</v>
      </c>
      <c r="C26" s="46">
        <f>IF('SA Apr 2021'!BP20=0,91*'SA Apr 2021'!M20/100,(91*'SA Apr 2021'!M20/100)+'SA Apr 2021'!BP20/4)</f>
        <v>84.63</v>
      </c>
      <c r="D26" s="46">
        <f>IF('SA Apr 2021'!O20="",$C$5*'SA Apr 2021'!N20/100,IF($C$5&gt;='SA Apr 2021'!P20,('SA Apr 2021'!P20*'SA Apr 2021'!N20/100),($C$5*'SA Apr 2021'!N20/100)))</f>
        <v>1340</v>
      </c>
      <c r="E26" s="46">
        <f>IF(AND('SA Apr 2021'!P20&gt;0,'SA Apr 2021'!R20&gt;0),IF($C$5&lt;'SA Apr 2021'!P20,0,IF($C$5&lt;=('SA Apr 2021'!R20+'SA Apr 2021'!P20),(($C$5-'SA Apr 2021'!P20)*'SA Apr 2021'!Q20/100),(('SA Apr 2021'!R20)*'SA Apr 2021'!Q20/100))),0)</f>
        <v>0</v>
      </c>
      <c r="F26" s="46">
        <f>IF(AND('SA Apr 2021'!Q20&gt;0,'SA Apr 2021'!S20&gt;0),IF($C$5&lt;('SA Apr 2021'!R20+'SA Apr 2021'!P20),0,IF($C$5&lt;=('SA Apr 2021'!T20+'SA Apr 2021'!R20+'SA Apr 2021'!P20),(($C$5-('SA Apr 2021'!R20+'SA Apr 2021'!P20))*'SA Apr 2021'!S20/100),('SA Apr 2021'!T20*'SA Apr 2021'!S20/100))),0)</f>
        <v>0</v>
      </c>
      <c r="G26" s="50">
        <v>0</v>
      </c>
      <c r="H26" s="46">
        <f>IF(AND('SA Apr 2021'!R20&gt;0,'SA Apr 2021'!T20&gt;0),IF(($C$5&lt;'SA Apr 2021'!T20),(0),($C$5-'SA Apr 2021'!T20)*'SA Apr 2021'!U20/100),IF(AND('SA Apr 2021'!R20&gt;0,'SA Apr 2021'!T20=""),IF(($C$5&lt;'SA Apr 2021'!R20+'SA Apr 2021'!P20),(0),(($C$5-('SA Apr 2021'!R20+'SA Apr 2021'!P20))*'SA Apr 2021'!S20/100)),IF(AND('SA Apr 2021'!P20&gt;0,'SA Apr 2021'!R20=""&gt;0),IF(($C$5&lt;'SA Apr 2021'!P20),(0),($C$5-'SA Apr 2021'!P20)*'SA Apr 2021'!Q20/100),0)))</f>
        <v>0</v>
      </c>
      <c r="I26" s="52">
        <f t="shared" ref="I26" si="15">SUM(C26:H26)</f>
        <v>1424.63</v>
      </c>
      <c r="J26" s="111">
        <f t="shared" si="3"/>
        <v>5360</v>
      </c>
      <c r="K26" s="112">
        <f t="shared" si="0"/>
        <v>5698.52</v>
      </c>
      <c r="L26" s="53">
        <f t="shared" si="4"/>
        <v>6268.3720000000012</v>
      </c>
      <c r="M26" s="54">
        <f>'SA Apr 2021'!BB20</f>
        <v>0</v>
      </c>
      <c r="N26" s="54">
        <f>'SA Apr 2021'!BC20</f>
        <v>0</v>
      </c>
      <c r="O26" s="54">
        <f>'SA Apr 2021'!BD20</f>
        <v>0</v>
      </c>
      <c r="P26" s="54">
        <f>'SA Apr 2021'!BE20</f>
        <v>0</v>
      </c>
      <c r="Q26" s="110" t="str">
        <f t="shared" si="5"/>
        <v>No discount</v>
      </c>
      <c r="R26" s="73" t="str">
        <f t="shared" si="1"/>
        <v>Exclusive</v>
      </c>
      <c r="S26" s="111">
        <f t="shared" si="7"/>
        <v>5698.52</v>
      </c>
      <c r="T26" s="112">
        <f t="shared" si="8"/>
        <v>5698.52</v>
      </c>
      <c r="U26" s="97">
        <f t="shared" si="12"/>
        <v>6268.3720000000012</v>
      </c>
      <c r="V26" s="98">
        <f t="shared" si="12"/>
        <v>6268.3720000000012</v>
      </c>
      <c r="W26" s="55">
        <f>'SA Apr 2021'!BL20</f>
        <v>0</v>
      </c>
      <c r="X26" s="56" t="str">
        <f>'SA Apr 2021'!BM20</f>
        <v>n</v>
      </c>
      <c r="Y26" s="314"/>
      <c r="Z26" s="314"/>
      <c r="AA26" s="314"/>
      <c r="AB26" s="314"/>
      <c r="AC26" s="314"/>
      <c r="AD26" s="314"/>
      <c r="AE26" s="314"/>
      <c r="AF26" s="314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</row>
    <row r="27" spans="1:44" ht="14" x14ac:dyDescent="0.15">
      <c r="A27" s="70" t="str">
        <f>'SA Apr 2021'!K21</f>
        <v>Covau</v>
      </c>
      <c r="B27" s="73" t="str">
        <f>'SA Apr 2021'!L21</f>
        <v>Freedom Plus</v>
      </c>
      <c r="C27" s="46">
        <f>IF('SA Apr 2021'!BP21=0,91*'SA Apr 2021'!M21/100,(91*'SA Apr 2021'!M21/100)+'SA Apr 2021'!BP21/4)</f>
        <v>68.25</v>
      </c>
      <c r="D27" s="46">
        <f>IF('SA Apr 2021'!O21="",$C$5*'SA Apr 2021'!N21/100,IF($C$5&gt;='SA Apr 2021'!P21,('SA Apr 2021'!P21*'SA Apr 2021'!N21/100),($C$5*'SA Apr 2021'!N21/100)))</f>
        <v>1535</v>
      </c>
      <c r="E27" s="46">
        <f>IF(AND('SA Apr 2021'!P21&gt;0,'SA Apr 2021'!R21&gt;0),IF($C$5&lt;'SA Apr 2021'!P21,0,IF($C$5&lt;=('SA Apr 2021'!R21+'SA Apr 2021'!P21),(($C$5-'SA Apr 2021'!P21)*'SA Apr 2021'!Q21/100),(('SA Apr 2021'!R21)*'SA Apr 2021'!Q21/100))),0)</f>
        <v>0</v>
      </c>
      <c r="F27" s="46">
        <f>IF(AND('SA Apr 2021'!Q21&gt;0,'SA Apr 2021'!S21&gt;0),IF($C$5&lt;('SA Apr 2021'!R21+'SA Apr 2021'!P21),0,IF($C$5&lt;=('SA Apr 2021'!T21+'SA Apr 2021'!R21+'SA Apr 2021'!P21),(($C$5-('SA Apr 2021'!R21+'SA Apr 2021'!P21))*'SA Apr 2021'!S21/100),('SA Apr 2021'!T21*'SA Apr 2021'!S21/100))),0)</f>
        <v>0</v>
      </c>
      <c r="G27" s="50">
        <v>1</v>
      </c>
      <c r="H27" s="46">
        <f>IF(AND('SA Apr 2021'!R21&gt;0,'SA Apr 2021'!T21&gt;0),IF(($C$5&lt;'SA Apr 2021'!T21),(0),($C$5-'SA Apr 2021'!T21)*'SA Apr 2021'!U21/100),IF(AND('SA Apr 2021'!R21&gt;0,'SA Apr 2021'!T21=""),IF(($C$5&lt;'SA Apr 2021'!R21+'SA Apr 2021'!P21),(0),(($C$5-('SA Apr 2021'!R21+'SA Apr 2021'!P21))*'SA Apr 2021'!S21/100)),IF(AND('SA Apr 2021'!P21&gt;0,'SA Apr 2021'!R21=""&gt;0),IF(($C$5&lt;'SA Apr 2021'!P21),(0),($C$5-'SA Apr 2021'!P21)*'SA Apr 2021'!Q21/100),0)))</f>
        <v>0</v>
      </c>
      <c r="I27" s="52">
        <f t="shared" ref="I27:I28" si="16">SUM(C27:H27)</f>
        <v>1604.25</v>
      </c>
      <c r="J27" s="111">
        <f t="shared" ref="J27:J28" si="17">(I27-C27)*4</f>
        <v>6144</v>
      </c>
      <c r="K27" s="112">
        <f t="shared" ref="K27:K28" si="18">I27*4</f>
        <v>6417</v>
      </c>
      <c r="L27" s="53">
        <f t="shared" ref="L27:L28" si="19">K27*1.1</f>
        <v>7058.7000000000007</v>
      </c>
      <c r="M27" s="54">
        <f>'SA Apr 2021'!BB21</f>
        <v>0</v>
      </c>
      <c r="N27" s="54">
        <f>'SA Apr 2021'!BC21</f>
        <v>5</v>
      </c>
      <c r="O27" s="54">
        <f>'SA Apr 2021'!BD21</f>
        <v>0</v>
      </c>
      <c r="P27" s="54">
        <f>'SA Apr 2021'!BE21</f>
        <v>0</v>
      </c>
      <c r="Q27" s="110" t="str">
        <f t="shared" ref="Q27:Q28" si="20">IF(SUM(M27:P27)=0,"No discount",IF(M27&gt;0,"Guaranteed off bill",IF(N27&gt;0,"Guaranteed off usage",IF(O27&gt;0,"Pay-on-time off bill","Pay-on-time off usage"))))</f>
        <v>Guaranteed off usage</v>
      </c>
      <c r="R27" s="73" t="str">
        <f t="shared" ref="R27:R28" si="21">IF(OR(A27="Origin Energy",A27="Red Energy",A27="Powershop"),"Inclusive","Exclusive")</f>
        <v>Exclusive</v>
      </c>
      <c r="S27" s="111">
        <f t="shared" ref="S27:S28" si="22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6109.8</v>
      </c>
      <c r="T27" s="112">
        <f t="shared" ref="T27" si="23">IF(AND(Q27="Pay-on-time off bill",R27="Inclusive"),((S27*1.1)-((S27*1.1)*O27/100))/1.1,IF(AND(Q27="Pay-on-time off usage",R27="Inclusive"),((S27*1.1)-((J27*1.1)*P27/100))/1.1,IF(AND(Q27="Pay-on-time off bill",R27="Exclusive"),S27-(S27*O27/100),IF(AND(Q27="Pay-on-time off usage",R27="Exclusive"),S27-(J27*P27/100),IF(R27="Inclusive",((S27*1.1))/1.1,S27)))))</f>
        <v>6109.8</v>
      </c>
      <c r="U27" s="97">
        <f t="shared" ref="U27:U28" si="24">S27*1.1</f>
        <v>6720.7800000000007</v>
      </c>
      <c r="V27" s="98">
        <f t="shared" ref="V27:V28" si="25">T27*1.1</f>
        <v>6720.7800000000007</v>
      </c>
      <c r="W27" s="55">
        <f>'SA Apr 2021'!BL21</f>
        <v>0</v>
      </c>
      <c r="X27" s="56" t="str">
        <f>'SA Apr 2021'!BM21</f>
        <v>n</v>
      </c>
      <c r="Y27" s="314"/>
      <c r="Z27" s="314"/>
      <c r="AA27" s="314"/>
      <c r="AB27" s="314"/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</row>
    <row r="28" spans="1:44" ht="15" thickBot="1" x14ac:dyDescent="0.2">
      <c r="A28" s="71" t="str">
        <f>'SA Apr 2021'!K22</f>
        <v>1st Energy</v>
      </c>
      <c r="B28" s="72" t="str">
        <f>'SA Apr 2021'!L22</f>
        <v>1st Saver Plus</v>
      </c>
      <c r="C28" s="58">
        <f>IF('SA Apr 2021'!BP22=0,91*'SA Apr 2021'!M22/100,(91*'SA Apr 2021'!M22/100)+'SA Apr 2021'!BP22/4)</f>
        <v>74.62</v>
      </c>
      <c r="D28" s="58">
        <f>IF('SA Apr 2021'!O22="",$C$5*'SA Apr 2021'!N22/100,IF($C$5&gt;='SA Apr 2021'!P22,('SA Apr 2021'!P22*'SA Apr 2021'!N22/100),($C$5*'SA Apr 2021'!N22/100)))</f>
        <v>1809.9999999999998</v>
      </c>
      <c r="E28" s="58">
        <f>IF(AND('SA Apr 2021'!P22&gt;0,'SA Apr 2021'!R22&gt;0),IF($C$5&lt;'SA Apr 2021'!P22,0,IF($C$5&lt;=('SA Apr 2021'!R22+'SA Apr 2021'!P22),(($C$5-'SA Apr 2021'!P22)*'SA Apr 2021'!Q22/100),(('SA Apr 2021'!R22)*'SA Apr 2021'!Q22/100))),0)</f>
        <v>0</v>
      </c>
      <c r="F28" s="58">
        <f>IF(AND('SA Apr 2021'!Q22&gt;0,'SA Apr 2021'!S22&gt;0),IF($C$5&lt;('SA Apr 2021'!R22+'SA Apr 2021'!P22),0,IF($C$5&lt;=('SA Apr 2021'!T22+'SA Apr 2021'!R22+'SA Apr 2021'!P22),(($C$5-('SA Apr 2021'!R22+'SA Apr 2021'!P22))*'SA Apr 2021'!S22/100),('SA Apr 2021'!T22*'SA Apr 2021'!S22/100))),0)</f>
        <v>0</v>
      </c>
      <c r="G28" s="59">
        <v>2</v>
      </c>
      <c r="H28" s="58">
        <f>IF(AND('SA Apr 2021'!R22&gt;0,'SA Apr 2021'!T22&gt;0),IF(($C$5&lt;'SA Apr 2021'!T22),(0),($C$5-'SA Apr 2021'!T22)*'SA Apr 2021'!U22/100),IF(AND('SA Apr 2021'!R22&gt;0,'SA Apr 2021'!T22=""),IF(($C$5&lt;'SA Apr 2021'!R22+'SA Apr 2021'!P22),(0),(($C$5-('SA Apr 2021'!R22+'SA Apr 2021'!P22))*'SA Apr 2021'!S22/100)),IF(AND('SA Apr 2021'!P22&gt;0,'SA Apr 2021'!R22=""&gt;0),IF(($C$5&lt;'SA Apr 2021'!P22),(0),($C$5-'SA Apr 2021'!P22)*'SA Apr 2021'!Q22/100),0)))</f>
        <v>0</v>
      </c>
      <c r="I28" s="61">
        <f t="shared" si="16"/>
        <v>1886.62</v>
      </c>
      <c r="J28" s="113">
        <f t="shared" si="17"/>
        <v>7248</v>
      </c>
      <c r="K28" s="114">
        <f t="shared" si="18"/>
        <v>7546.48</v>
      </c>
      <c r="L28" s="62">
        <f t="shared" si="19"/>
        <v>8301.1280000000006</v>
      </c>
      <c r="M28" s="63">
        <f>'SA Apr 2021'!BB22</f>
        <v>4</v>
      </c>
      <c r="N28" s="63">
        <f>'SA Apr 2021'!BC22</f>
        <v>0</v>
      </c>
      <c r="O28" s="63">
        <f>'SA Apr 2021'!BD22</f>
        <v>10</v>
      </c>
      <c r="P28" s="63">
        <f>'SA Apr 2021'!BE22</f>
        <v>0</v>
      </c>
      <c r="Q28" s="115" t="str">
        <f t="shared" si="20"/>
        <v>Guaranteed off bill</v>
      </c>
      <c r="R28" s="72" t="str">
        <f t="shared" si="21"/>
        <v>Exclusive</v>
      </c>
      <c r="S28" s="113">
        <f t="shared" si="22"/>
        <v>7244.6207999999997</v>
      </c>
      <c r="T28" s="114">
        <f>S28-(S28*O28/100)</f>
        <v>6520.1587199999994</v>
      </c>
      <c r="U28" s="99">
        <f t="shared" si="24"/>
        <v>7969.0828799999999</v>
      </c>
      <c r="V28" s="100">
        <f t="shared" si="25"/>
        <v>7172.1745920000003</v>
      </c>
      <c r="W28" s="64">
        <f>'SA Apr 2021'!BL22</f>
        <v>0</v>
      </c>
      <c r="X28" s="65" t="str">
        <f>'SA Apr 2021'!BM22</f>
        <v>n</v>
      </c>
      <c r="Y28" s="314"/>
      <c r="Z28" s="314"/>
      <c r="AA28" s="314"/>
      <c r="AB28" s="314"/>
      <c r="AC28" s="314"/>
      <c r="AD28" s="314"/>
      <c r="AE28" s="314"/>
      <c r="AF28" s="314"/>
      <c r="AG28" s="314"/>
      <c r="AH28" s="314"/>
      <c r="AI28" s="314"/>
      <c r="AJ28" s="314"/>
      <c r="AK28" s="314"/>
      <c r="AL28" s="314"/>
      <c r="AM28" s="314"/>
      <c r="AN28" s="314"/>
      <c r="AO28" s="314"/>
      <c r="AP28" s="314"/>
      <c r="AQ28" s="314"/>
      <c r="AR28" s="314"/>
    </row>
    <row r="29" spans="1:44" ht="14" x14ac:dyDescent="0.15">
      <c r="A29" s="309"/>
      <c r="B29" s="309"/>
      <c r="C29" s="309"/>
      <c r="D29" s="309"/>
      <c r="E29" s="309"/>
      <c r="F29" s="309"/>
      <c r="G29" s="312"/>
      <c r="H29" s="312"/>
      <c r="I29" s="313"/>
      <c r="J29" s="313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  <c r="AR29" s="309"/>
    </row>
    <row r="30" spans="1:44" ht="15" thickBot="1" x14ac:dyDescent="0.2">
      <c r="A30" s="309"/>
      <c r="B30" s="309"/>
      <c r="C30" s="309"/>
      <c r="D30" s="312"/>
      <c r="E30" s="312"/>
      <c r="F30" s="312"/>
      <c r="G30" s="312"/>
      <c r="H30" s="312"/>
      <c r="I30" s="313"/>
      <c r="J30" s="313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</row>
    <row r="31" spans="1:44" ht="14" x14ac:dyDescent="0.15">
      <c r="A31" s="36" t="s">
        <v>84</v>
      </c>
      <c r="B31" s="37"/>
      <c r="C31" s="37"/>
      <c r="D31" s="42"/>
      <c r="E31" s="42"/>
      <c r="F31" s="42"/>
      <c r="G31" s="42"/>
      <c r="H31" s="42"/>
      <c r="I31" s="43"/>
      <c r="J31" s="43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9"/>
      <c r="Y31" s="314"/>
      <c r="Z31" s="314"/>
      <c r="AA31" s="314"/>
      <c r="AB31" s="314"/>
      <c r="AC31" s="314"/>
      <c r="AD31" s="314"/>
      <c r="AE31" s="314"/>
      <c r="AF31" s="314"/>
      <c r="AG31" s="314"/>
      <c r="AH31" s="314"/>
      <c r="AI31" s="314"/>
      <c r="AJ31" s="314"/>
      <c r="AK31" s="314"/>
      <c r="AL31" s="314"/>
      <c r="AM31" s="314"/>
      <c r="AN31" s="314"/>
      <c r="AO31" s="314"/>
      <c r="AP31" s="314"/>
      <c r="AQ31" s="314"/>
      <c r="AR31" s="314"/>
    </row>
    <row r="32" spans="1:44" ht="14" x14ac:dyDescent="0.15">
      <c r="A32" s="40" t="s">
        <v>197</v>
      </c>
      <c r="B32" s="38"/>
      <c r="C32" s="47">
        <v>5000</v>
      </c>
      <c r="D32" s="44"/>
      <c r="E32" s="44"/>
      <c r="F32" s="44"/>
      <c r="G32" s="44"/>
      <c r="H32" s="44"/>
      <c r="I32" s="45"/>
      <c r="J32" s="45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41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</row>
    <row r="33" spans="1:44" ht="14" x14ac:dyDescent="0.15">
      <c r="A33" s="40" t="s">
        <v>85</v>
      </c>
      <c r="B33" s="38"/>
      <c r="C33" s="48">
        <v>0.7</v>
      </c>
      <c r="D33" s="44"/>
      <c r="E33" s="44"/>
      <c r="F33" s="44"/>
      <c r="G33" s="44"/>
      <c r="H33" s="44"/>
      <c r="I33" s="45"/>
      <c r="J33" s="45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41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</row>
    <row r="34" spans="1:44" ht="14" x14ac:dyDescent="0.15">
      <c r="A34" s="40" t="s">
        <v>171</v>
      </c>
      <c r="B34" s="38"/>
      <c r="C34" s="48">
        <v>0.3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314"/>
      <c r="Z34" s="314"/>
      <c r="AA34" s="314"/>
      <c r="AB34" s="314"/>
      <c r="AC34" s="314"/>
      <c r="AD34" s="314"/>
      <c r="AE34" s="314"/>
      <c r="AF34" s="314"/>
      <c r="AG34" s="314"/>
      <c r="AH34" s="314"/>
      <c r="AI34" s="314"/>
      <c r="AJ34" s="314"/>
      <c r="AK34" s="314"/>
      <c r="AL34" s="314"/>
      <c r="AM34" s="314"/>
      <c r="AN34" s="314"/>
      <c r="AO34" s="314"/>
      <c r="AP34" s="314"/>
      <c r="AQ34" s="314"/>
      <c r="AR34" s="314"/>
    </row>
    <row r="35" spans="1:44" ht="14" x14ac:dyDescent="0.15">
      <c r="A35" s="40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88"/>
      <c r="S35" s="88"/>
      <c r="T35" s="88"/>
      <c r="U35" s="88"/>
      <c r="V35" s="38"/>
      <c r="W35" s="38"/>
      <c r="X35" s="41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</row>
    <row r="36" spans="1:44" ht="75" x14ac:dyDescent="0.15">
      <c r="A36" s="317" t="s">
        <v>216</v>
      </c>
      <c r="B36" s="272" t="s">
        <v>198</v>
      </c>
      <c r="C36" s="274" t="s">
        <v>199</v>
      </c>
      <c r="D36" s="274" t="s">
        <v>200</v>
      </c>
      <c r="E36" s="274" t="s">
        <v>201</v>
      </c>
      <c r="F36" s="274" t="s">
        <v>164</v>
      </c>
      <c r="G36" s="274" t="s">
        <v>84</v>
      </c>
      <c r="H36" s="274" t="s">
        <v>233</v>
      </c>
      <c r="I36" s="274" t="s">
        <v>165</v>
      </c>
      <c r="J36" s="275" t="s">
        <v>544</v>
      </c>
      <c r="K36" s="276" t="s">
        <v>166</v>
      </c>
      <c r="L36" s="277" t="s">
        <v>545</v>
      </c>
      <c r="M36" s="278" t="s">
        <v>167</v>
      </c>
      <c r="N36" s="278" t="s">
        <v>168</v>
      </c>
      <c r="O36" s="278" t="s">
        <v>169</v>
      </c>
      <c r="P36" s="278" t="s">
        <v>170</v>
      </c>
      <c r="Q36" s="279" t="s">
        <v>541</v>
      </c>
      <c r="R36" s="279" t="s">
        <v>542</v>
      </c>
      <c r="S36" s="280" t="s">
        <v>546</v>
      </c>
      <c r="T36" s="280" t="s">
        <v>547</v>
      </c>
      <c r="U36" s="281" t="s">
        <v>227</v>
      </c>
      <c r="V36" s="281" t="s">
        <v>272</v>
      </c>
      <c r="W36" s="278" t="s">
        <v>82</v>
      </c>
      <c r="X36" s="282" t="s">
        <v>83</v>
      </c>
      <c r="Y36" s="309"/>
      <c r="Z36" s="309"/>
      <c r="AA36" s="309"/>
      <c r="AB36" s="309"/>
      <c r="AC36" s="309"/>
      <c r="AD36" s="309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  <c r="AO36" s="309"/>
      <c r="AP36" s="309"/>
      <c r="AQ36" s="309"/>
      <c r="AR36" s="309"/>
    </row>
    <row r="37" spans="1:44" ht="14" x14ac:dyDescent="0.15">
      <c r="A37" s="70" t="str">
        <f>'SA Apr 2021'!K23</f>
        <v>AGL</v>
      </c>
      <c r="B37" s="49" t="str">
        <f>'SA Apr 2021'!L23</f>
        <v>Business Essentials</v>
      </c>
      <c r="C37" s="46">
        <f>IF('SA Apr 2021'!BP23=0,91*'SA Apr 2021'!M23/100,(91*'SA Apr 2021'!M23/100)+'SA Apr 2021'!BP23/4)</f>
        <v>68.845636363636345</v>
      </c>
      <c r="D37" s="46">
        <f>IF('SA Apr 2021'!O23="",$C$32*$C$33*'SA Apr 2021'!N23/100,IF($C$32*$C$33&gt;='SA Apr 2021'!P23,('SA Apr 2021'!P23*'SA Apr 2021'!N23/100),($C$32*$C$33*'SA Apr 2021'!N23/100)))</f>
        <v>1074.5</v>
      </c>
      <c r="E37" s="46">
        <f>IF(AND('SA Apr 2021'!P23&gt;0,'SA Apr 2021'!R23&gt;0),IF($C$32*$C$33&lt;'SA Apr 2021'!P23,0,IF($C$32*$C$33&lt;=('SA Apr 2021'!R23+'SA Apr 2021'!P23),(($C$32*$C$33-'SA Apr 2021'!P23)*'SA Apr 2021'!Q23/100),(('SA Apr 2021'!R23)*'SA Apr 2021'!Q23/100))),0)</f>
        <v>0</v>
      </c>
      <c r="F37" s="46">
        <f>IF(AND('SA Apr 2021'!R23&gt;0,'SA Apr 2021'!T23&gt;0),IF(($C$32*$C$33&lt;'SA Apr 2021'!T23),(0),($C$32*$C$33-'SA Apr 2021'!T23)*'SA Apr 2021'!U23/100),IF(AND('SA Apr 2021'!R23&gt;0,'SA Apr 2021'!T23=""),IF(($C$32*$C$33&lt;'SA Apr 2021'!R23+'SA Apr 2021'!P23),(0),(($C$32*$C$33-('SA Apr 2021'!R23+'SA Apr 2021'!P23))*'SA Apr 2021'!S23/100)),IF(AND('SA Apr 2021'!P23&gt;0,'SA Apr 2021'!R23=""&gt;0),IF(($C$32*$C$33&lt;'SA Apr 2021'!P23),(0),($C$32*$C$33-'SA Apr 2021'!P23)*'SA Apr 2021'!Q23/100),0)))</f>
        <v>0</v>
      </c>
      <c r="G37" s="50">
        <f>($C$32*$C$34)*'SA Apr 2021'!AF23/100</f>
        <v>216.54545454545453</v>
      </c>
      <c r="H37" s="51">
        <v>0</v>
      </c>
      <c r="I37" s="52">
        <f t="shared" ref="I37:I51" si="26">SUM(C37:G37)</f>
        <v>1359.891090909091</v>
      </c>
      <c r="J37" s="109">
        <f>(I37-C37)*4</f>
        <v>5164.181818181818</v>
      </c>
      <c r="K37" s="109">
        <f t="shared" ref="K37:K51" si="27">I37*4</f>
        <v>5439.5643636363639</v>
      </c>
      <c r="L37" s="53">
        <f t="shared" ref="L37:L51" si="28">K37*1.1</f>
        <v>5983.5208000000011</v>
      </c>
      <c r="M37" s="54">
        <f>'SA Apr 2021'!BB23</f>
        <v>0</v>
      </c>
      <c r="N37" s="54">
        <f>'SA Apr 2021'!BC23</f>
        <v>0</v>
      </c>
      <c r="O37" s="54">
        <f>'SA Apr 2021'!BD23</f>
        <v>0</v>
      </c>
      <c r="P37" s="54">
        <f>'SA Apr 2021'!BE23</f>
        <v>0</v>
      </c>
      <c r="Q37" s="110" t="str">
        <f t="shared" ref="Q37:Q41" si="29">IF(SUM(M37:P37)=0,"No discount",IF(M37&gt;0,"Guaranteed off bill",IF(N37&gt;0,"Guaranteed off usage",IF(O37&gt;0,"Pay-on-time off bill","Pay-on-time off usage"))))</f>
        <v>No discount</v>
      </c>
      <c r="R37" s="73" t="str">
        <f t="shared" ref="R37:R51" si="30">IF(OR(A37="Origin Energy",A37="Red Energy",A37="Powershop"),"Inclusive","Exclusive")</f>
        <v>Exclusive</v>
      </c>
      <c r="S37" s="111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5439.5643636363639</v>
      </c>
      <c r="T37" s="112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5439.5643636363639</v>
      </c>
      <c r="U37" s="97">
        <f>S37*1.1</f>
        <v>5983.5208000000011</v>
      </c>
      <c r="V37" s="98">
        <f>T37*1.1</f>
        <v>5983.5208000000011</v>
      </c>
      <c r="W37" s="55">
        <f>'SA Apr 2021'!BL23</f>
        <v>0</v>
      </c>
      <c r="X37" s="56" t="str">
        <f>'SA Apr 2021'!BM23</f>
        <v>n</v>
      </c>
      <c r="Y37" s="314"/>
      <c r="Z37" s="314"/>
      <c r="AA37" s="314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</row>
    <row r="38" spans="1:44" ht="14" x14ac:dyDescent="0.15">
      <c r="A38" s="70" t="str">
        <f>'SA Apr 2021'!K24</f>
        <v>Alinta Energy</v>
      </c>
      <c r="B38" s="49" t="str">
        <f>'SA Apr 2021'!L24</f>
        <v>Business Advantage</v>
      </c>
      <c r="C38" s="46">
        <f>IF('SA Apr 2021'!BP24=0,91*'SA Apr 2021'!M24/100,(91*'SA Apr 2021'!M24/100)+'SA Apr 2021'!BP24/4)</f>
        <v>82.355000000000004</v>
      </c>
      <c r="D38" s="46">
        <f>IF('SA Apr 2021'!O24="",$C$32*$C$33*'SA Apr 2021'!N24/100,IF($C$32*$C$33&gt;='SA Apr 2021'!P24,('SA Apr 2021'!P24*'SA Apr 2021'!N24/100),($C$32*$C$33*'SA Apr 2021'!N24/100)))</f>
        <v>849.31818181818176</v>
      </c>
      <c r="E38" s="46">
        <f>IF(AND('SA Apr 2021'!P24&gt;0,'SA Apr 2021'!R24&gt;0),IF($C$32*$C$33&lt;'SA Apr 2021'!P24,0,IF($C$32*$C$33&lt;=('SA Apr 2021'!R24+'SA Apr 2021'!P24),(($C$32*$C$33-'SA Apr 2021'!P24)*'SA Apr 2021'!Q24/100),(('SA Apr 2021'!R24)*'SA Apr 2021'!Q24/100))),0)</f>
        <v>0</v>
      </c>
      <c r="F38" s="46">
        <f>IF(AND('SA Apr 2021'!R24&gt;0,'SA Apr 2021'!T24&gt;0),IF(($C$32*$C$33&lt;'SA Apr 2021'!T24),(0),($C$32*$C$33-'SA Apr 2021'!T24)*'SA Apr 2021'!U24/100),IF(AND('SA Apr 2021'!R24&gt;0,'SA Apr 2021'!T24=""),IF(($C$32*$C$33&lt;'SA Apr 2021'!R24+'SA Apr 2021'!P24),(0),(($C$32*$C$33-('SA Apr 2021'!R24+'SA Apr 2021'!P24))*'SA Apr 2021'!S24/100)),IF(AND('SA Apr 2021'!P24&gt;0,'SA Apr 2021'!R24=""&gt;0),IF(($C$32*$C$33&lt;'SA Apr 2021'!P24),(0),($C$32*$C$33-'SA Apr 2021'!P24)*'SA Apr 2021'!Q24/100),0)))</f>
        <v>339.72727272727275</v>
      </c>
      <c r="G38" s="50">
        <f>($C$32*$C$34)*'SA Apr 2021'!AF24/100</f>
        <v>232.6363636363636</v>
      </c>
      <c r="H38" s="51">
        <f>IF($C$32*$C$34&lt;'SA Apr 2021'!AG24,(0),((('SA Bills April 2021'!$C$32*'SA Bills April 2021'!$C$34)-('SA Apr 2021'!AG24))*'SA Apr 2021'!AH24/100))</f>
        <v>0</v>
      </c>
      <c r="I38" s="52">
        <f t="shared" si="26"/>
        <v>1504.036818181818</v>
      </c>
      <c r="J38" s="109">
        <f t="shared" ref="J38:J51" si="31">(I38-C38)*4</f>
        <v>5686.7272727272721</v>
      </c>
      <c r="K38" s="109">
        <f t="shared" si="27"/>
        <v>6016.1472727272721</v>
      </c>
      <c r="L38" s="53">
        <f t="shared" si="28"/>
        <v>6617.7619999999997</v>
      </c>
      <c r="M38" s="54">
        <f>'SA Apr 2021'!BB24</f>
        <v>0</v>
      </c>
      <c r="N38" s="54">
        <f>'SA Apr 2021'!BC24</f>
        <v>0</v>
      </c>
      <c r="O38" s="54">
        <f>'SA Apr 2021'!BD24</f>
        <v>0</v>
      </c>
      <c r="P38" s="54">
        <f>'SA Apr 2021'!BE24</f>
        <v>0</v>
      </c>
      <c r="Q38" s="110" t="str">
        <f t="shared" si="29"/>
        <v>No discount</v>
      </c>
      <c r="R38" s="73" t="str">
        <f t="shared" si="30"/>
        <v>Exclusive</v>
      </c>
      <c r="S38" s="111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6016.1472727272721</v>
      </c>
      <c r="T38" s="112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6016.1472727272721</v>
      </c>
      <c r="U38" s="97">
        <f t="shared" ref="U38:V51" si="32">S38*1.1</f>
        <v>6617.7619999999997</v>
      </c>
      <c r="V38" s="98">
        <f t="shared" si="32"/>
        <v>6617.7619999999997</v>
      </c>
      <c r="W38" s="55">
        <f>'SA Apr 2021'!BL24</f>
        <v>0</v>
      </c>
      <c r="X38" s="56" t="str">
        <f>'SA Apr 2021'!BM24</f>
        <v>n</v>
      </c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</row>
    <row r="39" spans="1:44" ht="14" x14ac:dyDescent="0.15">
      <c r="A39" s="70" t="str">
        <f>'SA Apr 2021'!K25</f>
        <v>Diamond Energy</v>
      </c>
      <c r="B39" s="49" t="str">
        <f>'SA Apr 2021'!L25</f>
        <v>Renewable Saver POT</v>
      </c>
      <c r="C39" s="46">
        <f>IF('SA Apr 2021'!BP25=0,91*'SA Apr 2021'!M25/100,(91*'SA Apr 2021'!M25/100)+'SA Apr 2021'!BP25/4)</f>
        <v>90.545000000000002</v>
      </c>
      <c r="D39" s="46">
        <f>IF('SA Apr 2021'!O25="",$C$32*$C$33*'SA Apr 2021'!N25/100,IF($C$32*$C$33&gt;='SA Apr 2021'!P25,('SA Apr 2021'!P25*'SA Apr 2021'!N25/100),($C$32*$C$33*'SA Apr 2021'!N25/100)))</f>
        <v>375.54545454545456</v>
      </c>
      <c r="E39" s="46">
        <f>IF(AND('SA Apr 2021'!P25&gt;0,'SA Apr 2021'!R25&gt;0),IF($C$32*$C$33&lt;'SA Apr 2021'!P25,0,IF($C$32*$C$33&lt;=('SA Apr 2021'!R25+'SA Apr 2021'!P25),(($C$32*$C$33-'SA Apr 2021'!P25)*'SA Apr 2021'!Q25/100),(('SA Apr 2021'!R25)*'SA Apr 2021'!Q25/100))),0)</f>
        <v>0</v>
      </c>
      <c r="F39" s="46">
        <f>IF(AND('SA Apr 2021'!R25&gt;0,'SA Apr 2021'!T25&gt;0),IF(($C$32*$C$33&lt;'SA Apr 2021'!T25),(0),($C$32*$C$33-'SA Apr 2021'!T25)*'SA Apr 2021'!U25/100),IF(AND('SA Apr 2021'!R25&gt;0,'SA Apr 2021'!T25=""),IF(($C$32*$C$33&lt;'SA Apr 2021'!R25+'SA Apr 2021'!P25),(0),(($C$32*$C$33-('SA Apr 2021'!R25+'SA Apr 2021'!P25))*'SA Apr 2021'!S25/100)),IF(AND('SA Apr 2021'!P25&gt;0,'SA Apr 2021'!R25=""&gt;0),IF(($C$32*$C$33&lt;'SA Apr 2021'!P25),(0),($C$32*$C$33-'SA Apr 2021'!P25)*'SA Apr 2021'!Q25/100),0)))</f>
        <v>998.86363636363637</v>
      </c>
      <c r="G39" s="50">
        <f>($C$32*$C$34)*'SA Apr 2021'!AF25/100</f>
        <v>299.31818181818181</v>
      </c>
      <c r="H39" s="51">
        <v>0</v>
      </c>
      <c r="I39" s="52">
        <f t="shared" si="26"/>
        <v>1764.2722727272728</v>
      </c>
      <c r="J39" s="109">
        <f t="shared" si="31"/>
        <v>6694.909090909091</v>
      </c>
      <c r="K39" s="109">
        <f t="shared" si="27"/>
        <v>7057.0890909090913</v>
      </c>
      <c r="L39" s="53">
        <f t="shared" si="28"/>
        <v>7762.7980000000007</v>
      </c>
      <c r="M39" s="54">
        <f>'SA Apr 2021'!BB25</f>
        <v>0</v>
      </c>
      <c r="N39" s="54">
        <f>'SA Apr 2021'!BC25</f>
        <v>0</v>
      </c>
      <c r="O39" s="54">
        <f>'SA Apr 2021'!BD25</f>
        <v>7</v>
      </c>
      <c r="P39" s="54">
        <f>'SA Apr 2021'!BE25</f>
        <v>0</v>
      </c>
      <c r="Q39" s="110" t="str">
        <f t="shared" si="29"/>
        <v>Pay-on-time off bill</v>
      </c>
      <c r="R39" s="73" t="str">
        <f t="shared" si="30"/>
        <v>Exclusive</v>
      </c>
      <c r="S39" s="111">
        <f t="shared" ref="S39:S51" si="33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7057.0890909090913</v>
      </c>
      <c r="T39" s="112">
        <f t="shared" ref="T39:T51" si="34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6563.0928545454553</v>
      </c>
      <c r="U39" s="97">
        <f t="shared" si="32"/>
        <v>7762.7980000000007</v>
      </c>
      <c r="V39" s="98">
        <f t="shared" si="32"/>
        <v>7219.4021400000011</v>
      </c>
      <c r="W39" s="55">
        <f>'SA Apr 2021'!BL25</f>
        <v>0</v>
      </c>
      <c r="X39" s="56" t="str">
        <f>'SA Apr 2021'!BM25</f>
        <v>n</v>
      </c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</row>
    <row r="40" spans="1:44" ht="14" x14ac:dyDescent="0.15">
      <c r="A40" s="70" t="str">
        <f>'SA Apr 2021'!K26</f>
        <v>EnergyAustralia</v>
      </c>
      <c r="B40" s="49" t="str">
        <f>'SA Apr 2021'!L26</f>
        <v>Total Plan</v>
      </c>
      <c r="C40" s="46">
        <f>IF('SA Apr 2021'!BP26=0,91*'SA Apr 2021'!M26/100,(91*'SA Apr 2021'!M26/100)+'SA Apr 2021'!BP26/4)</f>
        <v>89.179999999999978</v>
      </c>
      <c r="D40" s="46">
        <f>IF('SA Apr 2021'!O26="",$C$32*$C$33*'SA Apr 2021'!N26/100,IF($C$32*$C$33&gt;='SA Apr 2021'!P26,('SA Apr 2021'!P26*'SA Apr 2021'!N26/100),($C$32*$C$33*'SA Apr 2021'!N26/100)))</f>
        <v>1258.7272727272727</v>
      </c>
      <c r="E40" s="46">
        <f>IF(AND('SA Apr 2021'!P26&gt;0,'SA Apr 2021'!R26&gt;0),IF($C$32*$C$33&lt;'SA Apr 2021'!P26,0,IF($C$32*$C$33&lt;=('SA Apr 2021'!R26+'SA Apr 2021'!P26),(($C$32*$C$33-'SA Apr 2021'!P26)*'SA Apr 2021'!Q26/100),(('SA Apr 2021'!R26)*'SA Apr 2021'!Q26/100))),0)</f>
        <v>0</v>
      </c>
      <c r="F40" s="46">
        <f>IF(AND('SA Apr 2021'!R26&gt;0,'SA Apr 2021'!T26&gt;0),IF(($C$32*$C$33&lt;'SA Apr 2021'!T26),(0),($C$32*$C$33-'SA Apr 2021'!T26)*'SA Apr 2021'!U26/100),IF(AND('SA Apr 2021'!R26&gt;0,'SA Apr 2021'!T26=""),IF(($C$32*$C$33&lt;'SA Apr 2021'!R26+'SA Apr 2021'!P26),(0),(($C$32*$C$33-('SA Apr 2021'!R26+'SA Apr 2021'!P26))*'SA Apr 2021'!S26/100)),IF(AND('SA Apr 2021'!P26&gt;0,'SA Apr 2021'!R26=""&gt;0),IF(($C$32*$C$33&lt;'SA Apr 2021'!P26),(0),($C$32*$C$33-'SA Apr 2021'!P26)*'SA Apr 2021'!Q26/100),0)))</f>
        <v>0</v>
      </c>
      <c r="G40" s="50">
        <f>($C$32*$C$34)*'SA Apr 2021'!AF26/100</f>
        <v>254.59090909090909</v>
      </c>
      <c r="H40" s="51">
        <v>0</v>
      </c>
      <c r="I40" s="52">
        <f t="shared" si="26"/>
        <v>1602.4981818181818</v>
      </c>
      <c r="J40" s="109">
        <f t="shared" si="31"/>
        <v>6053.272727272727</v>
      </c>
      <c r="K40" s="109">
        <f t="shared" si="27"/>
        <v>6409.9927272727273</v>
      </c>
      <c r="L40" s="53">
        <f t="shared" si="28"/>
        <v>7050.9920000000002</v>
      </c>
      <c r="M40" s="54">
        <f>'SA Apr 2021'!BB26</f>
        <v>3</v>
      </c>
      <c r="N40" s="54">
        <f>'SA Apr 2021'!BC26</f>
        <v>0</v>
      </c>
      <c r="O40" s="54">
        <f>'SA Apr 2021'!BD26</f>
        <v>0</v>
      </c>
      <c r="P40" s="54">
        <f>'SA Apr 2021'!BE26</f>
        <v>0</v>
      </c>
      <c r="Q40" s="110" t="str">
        <f t="shared" si="29"/>
        <v>Guaranteed off bill</v>
      </c>
      <c r="R40" s="73" t="str">
        <f t="shared" si="30"/>
        <v>Exclusive</v>
      </c>
      <c r="S40" s="111">
        <f t="shared" si="33"/>
        <v>6217.6929454545452</v>
      </c>
      <c r="T40" s="112">
        <f t="shared" si="34"/>
        <v>6217.6929454545452</v>
      </c>
      <c r="U40" s="97">
        <f t="shared" si="32"/>
        <v>6839.4622400000007</v>
      </c>
      <c r="V40" s="98">
        <f t="shared" si="32"/>
        <v>6839.4622400000007</v>
      </c>
      <c r="W40" s="55">
        <f>'SA Apr 2021'!BL26</f>
        <v>0</v>
      </c>
      <c r="X40" s="56" t="str">
        <f>'SA Apr 2021'!BM26</f>
        <v>n</v>
      </c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</row>
    <row r="41" spans="1:44" ht="14" x14ac:dyDescent="0.15">
      <c r="A41" s="70" t="str">
        <f>'SA Apr 2021'!K27</f>
        <v>Lumo Energy</v>
      </c>
      <c r="B41" s="49" t="str">
        <f>'SA Apr 2021'!L27</f>
        <v>Basic</v>
      </c>
      <c r="C41" s="46">
        <f>IF('SA Apr 2021'!BP27=0,91*'SA Apr 2021'!M27/100,(91*'SA Apr 2021'!M27/100)+'SA Apr 2021'!BP27/4)</f>
        <v>78.276545454545442</v>
      </c>
      <c r="D41" s="46">
        <f>IF('SA Apr 2021'!O27="",$C$32*$C$33*'SA Apr 2021'!N27/100,IF($C$32*$C$33&gt;='SA Apr 2021'!P27,('SA Apr 2021'!P27*'SA Apr 2021'!N27/100),($C$32*$C$33*'SA Apr 2021'!N27/100)))</f>
        <v>1186.1818181818182</v>
      </c>
      <c r="E41" s="46">
        <f>IF(AND('SA Apr 2021'!P27&gt;0,'SA Apr 2021'!R27&gt;0),IF($C$32*$C$33&lt;'SA Apr 2021'!P27,0,IF($C$32*$C$33&lt;=('SA Apr 2021'!R27+'SA Apr 2021'!P27),(($C$32*$C$33-'SA Apr 2021'!P27)*'SA Apr 2021'!Q27/100),(('SA Apr 2021'!R27)*'SA Apr 2021'!Q27/100))),0)</f>
        <v>0</v>
      </c>
      <c r="F41" s="46">
        <f>IF(AND('SA Apr 2021'!R27&gt;0,'SA Apr 2021'!T27&gt;0),IF(($C$32*$C$33&lt;'SA Apr 2021'!T27),(0),($C$32*$C$33-'SA Apr 2021'!T27)*'SA Apr 2021'!U27/100),IF(AND('SA Apr 2021'!R27&gt;0,'SA Apr 2021'!T27=""),IF(($C$32*$C$33&lt;'SA Apr 2021'!R27+'SA Apr 2021'!P27),(0),(($C$32*$C$33-('SA Apr 2021'!R27+'SA Apr 2021'!P27))*'SA Apr 2021'!S27/100)),IF(AND('SA Apr 2021'!P27&gt;0,'SA Apr 2021'!R27=""&gt;0),IF(($C$32*$C$33&lt;'SA Apr 2021'!P27),(0),($C$32*$C$33-'SA Apr 2021'!P27)*'SA Apr 2021'!Q27/100),0)))</f>
        <v>0</v>
      </c>
      <c r="G41" s="50">
        <f>($C$32*$C$34)*'SA Apr 2021'!AF27/100</f>
        <v>281.99999999999994</v>
      </c>
      <c r="H41" s="51">
        <v>1</v>
      </c>
      <c r="I41" s="52">
        <f t="shared" si="26"/>
        <v>1546.4583636363636</v>
      </c>
      <c r="J41" s="109">
        <f t="shared" si="31"/>
        <v>5872.727272727273</v>
      </c>
      <c r="K41" s="109">
        <f t="shared" si="27"/>
        <v>6185.8334545454545</v>
      </c>
      <c r="L41" s="53">
        <f t="shared" si="28"/>
        <v>6804.4168000000009</v>
      </c>
      <c r="M41" s="54">
        <f>'SA Apr 2021'!BB27</f>
        <v>0</v>
      </c>
      <c r="N41" s="54">
        <f>'SA Apr 2021'!BC27</f>
        <v>0</v>
      </c>
      <c r="O41" s="54">
        <f>'SA Apr 2021'!BD27</f>
        <v>0</v>
      </c>
      <c r="P41" s="54">
        <f>'SA Apr 2021'!BE27</f>
        <v>0</v>
      </c>
      <c r="Q41" s="110" t="str">
        <f t="shared" si="29"/>
        <v>No discount</v>
      </c>
      <c r="R41" s="73" t="str">
        <f t="shared" si="30"/>
        <v>Exclusive</v>
      </c>
      <c r="S41" s="111">
        <f t="shared" si="33"/>
        <v>6185.8334545454545</v>
      </c>
      <c r="T41" s="112">
        <f t="shared" si="34"/>
        <v>6185.8334545454545</v>
      </c>
      <c r="U41" s="97">
        <f t="shared" si="32"/>
        <v>6804.4168000000009</v>
      </c>
      <c r="V41" s="98">
        <f t="shared" si="32"/>
        <v>6804.4168000000009</v>
      </c>
      <c r="W41" s="55">
        <f>'SA Apr 2021'!BL27</f>
        <v>0</v>
      </c>
      <c r="X41" s="56" t="str">
        <f>'SA Apr 2021'!BM27</f>
        <v>n</v>
      </c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</row>
    <row r="42" spans="1:44" ht="14" x14ac:dyDescent="0.15">
      <c r="A42" s="70" t="str">
        <f>'SA Apr 2021'!K28</f>
        <v>Momentum Energy</v>
      </c>
      <c r="B42" s="49" t="str">
        <f>'SA Apr 2021'!L28</f>
        <v>SmilePower Flexi</v>
      </c>
      <c r="C42" s="46">
        <f>IF('SA Apr 2021'!BP28=0,91*'SA Apr 2021'!M28/100,(91*'SA Apr 2021'!M28/100)+'SA Apr 2021'!BP28/4)</f>
        <v>89.072454545454548</v>
      </c>
      <c r="D42" s="46">
        <f>IF('SA Apr 2021'!O28="",$C$32*$C$33*'SA Apr 2021'!N28/100,IF($C$32*$C$33&gt;='SA Apr 2021'!P28,('SA Apr 2021'!P28*'SA Apr 2021'!N28/100),($C$32*$C$33*'SA Apr 2021'!N28/100)))</f>
        <v>1268.2727272727273</v>
      </c>
      <c r="E42" s="46">
        <f>IF(AND('SA Apr 2021'!P28&gt;0,'SA Apr 2021'!R28&gt;0),IF($C$32*$C$33&lt;'SA Apr 2021'!P28,0,IF($C$32*$C$33&lt;=('SA Apr 2021'!R28+'SA Apr 2021'!P28),(($C$32*$C$33-'SA Apr 2021'!P28)*'SA Apr 2021'!Q28/100),(('SA Apr 2021'!R28)*'SA Apr 2021'!Q28/100))),0)</f>
        <v>0</v>
      </c>
      <c r="F42" s="46">
        <f>IF(AND('SA Apr 2021'!R28&gt;0,'SA Apr 2021'!T28&gt;0),IF(($C$32*$C$33&lt;'SA Apr 2021'!T28),(0),($C$32*$C$33-'SA Apr 2021'!T28)*'SA Apr 2021'!U28/100),IF(AND('SA Apr 2021'!R28&gt;0,'SA Apr 2021'!T28=""),IF(($C$32*$C$33&lt;'SA Apr 2021'!R28+'SA Apr 2021'!P28),(0),(($C$32*$C$33-('SA Apr 2021'!R28+'SA Apr 2021'!P28))*'SA Apr 2021'!S28/100)),IF(AND('SA Apr 2021'!P28&gt;0,'SA Apr 2021'!R28=""&gt;0),IF(($C$32*$C$33&lt;'SA Apr 2021'!P28),(0),($C$32*$C$33-'SA Apr 2021'!P28)*'SA Apr 2021'!Q28/100),0)))</f>
        <v>0</v>
      </c>
      <c r="G42" s="50">
        <f>($C$32*$C$34)*'SA Apr 2021'!AF28/100</f>
        <v>319.63636363636363</v>
      </c>
      <c r="H42" s="51">
        <v>0</v>
      </c>
      <c r="I42" s="52">
        <f t="shared" si="26"/>
        <v>1676.9815454545455</v>
      </c>
      <c r="J42" s="109">
        <f t="shared" si="31"/>
        <v>6351.636363636364</v>
      </c>
      <c r="K42" s="109">
        <f t="shared" si="27"/>
        <v>6707.9261818181822</v>
      </c>
      <c r="L42" s="53">
        <f t="shared" si="28"/>
        <v>7378.7188000000006</v>
      </c>
      <c r="M42" s="54">
        <f>'SA Apr 2021'!BB28</f>
        <v>0</v>
      </c>
      <c r="N42" s="54">
        <f>'SA Apr 2021'!BC28</f>
        <v>0</v>
      </c>
      <c r="O42" s="54">
        <f>'SA Apr 2021'!BD28</f>
        <v>0</v>
      </c>
      <c r="P42" s="54">
        <f>'SA Apr 2021'!BE28</f>
        <v>0</v>
      </c>
      <c r="Q42" s="110" t="str">
        <f>IF(SUM(M42:P42)=0,"No discount",IF(M42&gt;0,"Guaranteed off bill",IF(N42&gt;0,"Guaranteed off usage",IF(O42&gt;0,"Pay-on-time off bill","Pay-on-time off usage"))))</f>
        <v>No discount</v>
      </c>
      <c r="R42" s="73" t="str">
        <f t="shared" si="30"/>
        <v>Exclusive</v>
      </c>
      <c r="S42" s="111">
        <f t="shared" si="33"/>
        <v>6707.9261818181822</v>
      </c>
      <c r="T42" s="112">
        <f t="shared" si="34"/>
        <v>6707.9261818181822</v>
      </c>
      <c r="U42" s="97">
        <f t="shared" si="32"/>
        <v>7378.7188000000006</v>
      </c>
      <c r="V42" s="98">
        <f t="shared" si="32"/>
        <v>7378.7188000000006</v>
      </c>
      <c r="W42" s="55">
        <f>'SA Apr 2021'!BL28</f>
        <v>0</v>
      </c>
      <c r="X42" s="56" t="str">
        <f>'SA Apr 2021'!BM28</f>
        <v>n</v>
      </c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  <c r="AO42" s="309"/>
      <c r="AP42" s="309"/>
      <c r="AQ42" s="309"/>
      <c r="AR42" s="309"/>
    </row>
    <row r="43" spans="1:44" ht="14" x14ac:dyDescent="0.15">
      <c r="A43" s="70" t="str">
        <f>'SA Apr 2021'!K29</f>
        <v>Origin Energy</v>
      </c>
      <c r="B43" s="49" t="str">
        <f>'SA Apr 2021'!L29</f>
        <v xml:space="preserve">Flexi </v>
      </c>
      <c r="C43" s="46">
        <f>IF('SA Apr 2021'!BP29=0,91*'SA Apr 2021'!M29/100,(91*'SA Apr 2021'!M29/100)+'SA Apr 2021'!BP29/4)</f>
        <v>74.669636363636357</v>
      </c>
      <c r="D43" s="46">
        <f>IF('SA Apr 2021'!O29="",$C$32*$C$33*'SA Apr 2021'!N29/100,IF($C$32*$C$33&gt;='SA Apr 2021'!P29,('SA Apr 2021'!P29*'SA Apr 2021'!N29/100),($C$32*$C$33*'SA Apr 2021'!N29/100)))</f>
        <v>1268.9090909090908</v>
      </c>
      <c r="E43" s="46">
        <f>IF(AND('SA Apr 2021'!P29&gt;0,'SA Apr 2021'!R29&gt;0),IF($C$32*$C$33&lt;'SA Apr 2021'!P29,0,IF($C$32*$C$33&lt;=('SA Apr 2021'!R29+'SA Apr 2021'!P29),(($C$32*$C$33-'SA Apr 2021'!P29)*'SA Apr 2021'!Q29/100),(('SA Apr 2021'!R29)*'SA Apr 2021'!Q29/100))),0)</f>
        <v>0</v>
      </c>
      <c r="F43" s="46">
        <f>IF(AND('SA Apr 2021'!R29&gt;0,'SA Apr 2021'!T29&gt;0),IF(($C$32*$C$33&lt;'SA Apr 2021'!T29),(0),($C$32*$C$33-'SA Apr 2021'!T29)*'SA Apr 2021'!U29/100),IF(AND('SA Apr 2021'!R29&gt;0,'SA Apr 2021'!T29=""),IF(($C$32*$C$33&lt;'SA Apr 2021'!R29+'SA Apr 2021'!P29),(0),(($C$32*$C$33-('SA Apr 2021'!R29+'SA Apr 2021'!P29))*'SA Apr 2021'!S29/100)),IF(AND('SA Apr 2021'!P29&gt;0,'SA Apr 2021'!R29=""&gt;0),IF(($C$32*$C$33&lt;'SA Apr 2021'!P29),(0),($C$32*$C$33-'SA Apr 2021'!P29)*'SA Apr 2021'!Q29/100),0)))</f>
        <v>0</v>
      </c>
      <c r="G43" s="50">
        <f>($C$32*$C$34)*'SA Apr 2021'!AF29/100</f>
        <v>250.77272727272728</v>
      </c>
      <c r="H43" s="51">
        <v>0</v>
      </c>
      <c r="I43" s="52">
        <f t="shared" si="26"/>
        <v>1594.3514545454543</v>
      </c>
      <c r="J43" s="109">
        <f t="shared" si="31"/>
        <v>6078.7272727272721</v>
      </c>
      <c r="K43" s="109">
        <f t="shared" si="27"/>
        <v>6377.4058181818173</v>
      </c>
      <c r="L43" s="53">
        <f t="shared" si="28"/>
        <v>7015.1463999999996</v>
      </c>
      <c r="M43" s="54">
        <f>'SA Apr 2021'!BB29</f>
        <v>0</v>
      </c>
      <c r="N43" s="54">
        <f>'SA Apr 2021'!BC29</f>
        <v>15</v>
      </c>
      <c r="O43" s="54">
        <f>'SA Apr 2021'!BD29</f>
        <v>0</v>
      </c>
      <c r="P43" s="54">
        <f>'SA Apr 2021'!BE29</f>
        <v>0</v>
      </c>
      <c r="Q43" s="110" t="str">
        <f t="shared" ref="Q43:Q49" si="35">IF(SUM(M43:P43)=0,"No discount",IF(M43&gt;0,"Guaranteed off bill",IF(N43&gt;0,"Guaranteed off usage",IF(O43&gt;0,"Pay-on-time off bill","Pay-on-time off usage"))))</f>
        <v>Guaranteed off usage</v>
      </c>
      <c r="R43" s="73" t="str">
        <f t="shared" si="30"/>
        <v>Inclusive</v>
      </c>
      <c r="S43" s="111">
        <f t="shared" si="33"/>
        <v>5465.5967272727266</v>
      </c>
      <c r="T43" s="112">
        <f t="shared" si="34"/>
        <v>5465.5967272727266</v>
      </c>
      <c r="U43" s="97">
        <f t="shared" si="32"/>
        <v>6012.1563999999998</v>
      </c>
      <c r="V43" s="98">
        <f t="shared" si="32"/>
        <v>6012.1563999999998</v>
      </c>
      <c r="W43" s="55">
        <f>'SA Apr 2021'!BL29</f>
        <v>0</v>
      </c>
      <c r="X43" s="56" t="str">
        <f>'SA Apr 2021'!BM29</f>
        <v>n</v>
      </c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</row>
    <row r="44" spans="1:44" ht="14" x14ac:dyDescent="0.15">
      <c r="A44" s="70" t="str">
        <f>'SA Apr 2021'!K30</f>
        <v>Powerdirect</v>
      </c>
      <c r="B44" s="49" t="str">
        <f>'SA Apr 2021'!L30</f>
        <v>Business Rate Saver</v>
      </c>
      <c r="C44" s="46">
        <f>IF('SA Apr 2021'!BP30=0,91*'SA Apr 2021'!M30/100,(91*'SA Apr 2021'!M30/100)+'SA Apr 2021'!BP30/4)</f>
        <v>70.458818181818174</v>
      </c>
      <c r="D44" s="46">
        <f>IF('SA Apr 2021'!O30="",$C$32*$C$33*'SA Apr 2021'!N30/100,IF($C$32*$C$33&gt;='SA Apr 2021'!P30,('SA Apr 2021'!P30*'SA Apr 2021'!N30/100),($C$32*$C$33*'SA Apr 2021'!N30/100)))</f>
        <v>1099.6363636363637</v>
      </c>
      <c r="E44" s="46">
        <f>IF(AND('SA Apr 2021'!P30&gt;0,'SA Apr 2021'!R30&gt;0),IF($C$32*$C$33&lt;'SA Apr 2021'!P30,0,IF($C$32*$C$33&lt;=('SA Apr 2021'!R30+'SA Apr 2021'!P30),(($C$32*$C$33-'SA Apr 2021'!P30)*'SA Apr 2021'!Q30/100),(('SA Apr 2021'!R30)*'SA Apr 2021'!Q30/100))),0)</f>
        <v>0</v>
      </c>
      <c r="F44" s="46">
        <f>IF(AND('SA Apr 2021'!R30&gt;0,'SA Apr 2021'!T30&gt;0),IF(($C$32*$C$33&lt;'SA Apr 2021'!T30),(0),($C$32*$C$33-'SA Apr 2021'!T30)*'SA Apr 2021'!U30/100),IF(AND('SA Apr 2021'!R30&gt;0,'SA Apr 2021'!T30=""),IF(($C$32*$C$33&lt;'SA Apr 2021'!R30+'SA Apr 2021'!P30),(0),(($C$32*$C$33-('SA Apr 2021'!R30+'SA Apr 2021'!P30))*'SA Apr 2021'!S30/100)),IF(AND('SA Apr 2021'!P30&gt;0,'SA Apr 2021'!R30=""&gt;0),IF(($C$32*$C$33&lt;'SA Apr 2021'!P30),(0),($C$32*$C$33-'SA Apr 2021'!P30)*'SA Apr 2021'!Q30/100),0)))</f>
        <v>0</v>
      </c>
      <c r="G44" s="50">
        <f>($C$32*$C$34)*'SA Apr 2021'!AF30/100</f>
        <v>221.72727272727272</v>
      </c>
      <c r="H44" s="51">
        <v>0</v>
      </c>
      <c r="I44" s="52">
        <f t="shared" si="26"/>
        <v>1391.8224545454548</v>
      </c>
      <c r="J44" s="109">
        <f t="shared" si="31"/>
        <v>5285.454545454546</v>
      </c>
      <c r="K44" s="109">
        <f t="shared" si="27"/>
        <v>5567.2898181818191</v>
      </c>
      <c r="L44" s="53">
        <f t="shared" si="28"/>
        <v>6124.0188000000016</v>
      </c>
      <c r="M44" s="54">
        <f>'SA Apr 2021'!BB30</f>
        <v>0</v>
      </c>
      <c r="N44" s="54">
        <f>'SA Apr 2021'!BC30</f>
        <v>0</v>
      </c>
      <c r="O44" s="54">
        <f>'SA Apr 2021'!BD30</f>
        <v>0</v>
      </c>
      <c r="P44" s="54">
        <f>'SA Apr 2021'!BE30</f>
        <v>0</v>
      </c>
      <c r="Q44" s="110" t="str">
        <f t="shared" si="35"/>
        <v>No discount</v>
      </c>
      <c r="R44" s="73" t="str">
        <f t="shared" si="30"/>
        <v>Exclusive</v>
      </c>
      <c r="S44" s="111">
        <f t="shared" si="33"/>
        <v>5567.2898181818191</v>
      </c>
      <c r="T44" s="112">
        <f t="shared" si="34"/>
        <v>5567.2898181818191</v>
      </c>
      <c r="U44" s="97">
        <f t="shared" si="32"/>
        <v>6124.0188000000016</v>
      </c>
      <c r="V44" s="98">
        <f t="shared" si="32"/>
        <v>6124.0188000000016</v>
      </c>
      <c r="W44" s="55">
        <f>'SA Apr 2021'!BL30</f>
        <v>0</v>
      </c>
      <c r="X44" s="56" t="str">
        <f>'SA Apr 2021'!BM30</f>
        <v>n</v>
      </c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</row>
    <row r="45" spans="1:44" ht="14" x14ac:dyDescent="0.15">
      <c r="A45" s="70" t="str">
        <f>'SA Apr 2021'!K31</f>
        <v>Red Energy</v>
      </c>
      <c r="B45" s="49" t="str">
        <f>'SA Apr 2021'!L31</f>
        <v>Red Business Saver</v>
      </c>
      <c r="C45" s="46">
        <f>IF('SA Apr 2021'!BP31=0,91*'SA Apr 2021'!M31/100,(91*'SA Apr 2021'!M31/100)+'SA Apr 2021'!BP31/4)</f>
        <v>79.260999999999996</v>
      </c>
      <c r="D45" s="46">
        <f>IF('SA Apr 2021'!O31="",$C$32*$C$33*'SA Apr 2021'!N31/100,IF($C$32*$C$33&gt;='SA Apr 2021'!P31,('SA Apr 2021'!P31*'SA Apr 2021'!N31/100),($C$32*$C$33*'SA Apr 2021'!N31/100)))</f>
        <v>1228.4999999999998</v>
      </c>
      <c r="E45" s="46">
        <f>IF(AND('SA Apr 2021'!P31&gt;0,'SA Apr 2021'!R31&gt;0),IF($C$32*$C$33&lt;'SA Apr 2021'!P31,0,IF($C$32*$C$33&lt;=('SA Apr 2021'!R31+'SA Apr 2021'!P31),(($C$32*$C$33-'SA Apr 2021'!P31)*'SA Apr 2021'!Q31/100),(('SA Apr 2021'!R31)*'SA Apr 2021'!Q31/100))),0)</f>
        <v>0</v>
      </c>
      <c r="F45" s="46">
        <f>IF(AND('SA Apr 2021'!R31&gt;0,'SA Apr 2021'!T31&gt;0),IF(($C$32*$C$33&lt;'SA Apr 2021'!T31),(0),($C$32*$C$33-'SA Apr 2021'!T31)*'SA Apr 2021'!U31/100),IF(AND('SA Apr 2021'!R31&gt;0,'SA Apr 2021'!T31=""),IF(($C$32*$C$33&lt;'SA Apr 2021'!R31+'SA Apr 2021'!P31),(0),(($C$32*$C$33-('SA Apr 2021'!R31+'SA Apr 2021'!P31))*'SA Apr 2021'!S31/100)),IF(AND('SA Apr 2021'!P31&gt;0,'SA Apr 2021'!R31=""&gt;0),IF(($C$32*$C$33&lt;'SA Apr 2021'!P31),(0),($C$32*$C$33-'SA Apr 2021'!P31)*'SA Apr 2021'!Q31/100),0)))</f>
        <v>0</v>
      </c>
      <c r="G45" s="50">
        <f>($C$32*$C$34)*'SA Apr 2021'!AF31/100</f>
        <v>289.49999999999994</v>
      </c>
      <c r="H45" s="51">
        <v>0</v>
      </c>
      <c r="I45" s="52">
        <f t="shared" si="26"/>
        <v>1597.2609999999997</v>
      </c>
      <c r="J45" s="109">
        <f t="shared" si="31"/>
        <v>6071.9999999999991</v>
      </c>
      <c r="K45" s="109">
        <f t="shared" si="27"/>
        <v>6389.043999999999</v>
      </c>
      <c r="L45" s="53">
        <f t="shared" si="28"/>
        <v>7027.9483999999993</v>
      </c>
      <c r="M45" s="54">
        <f>'SA Apr 2021'!BB31</f>
        <v>0</v>
      </c>
      <c r="N45" s="54">
        <f>'SA Apr 2021'!BC31</f>
        <v>0</v>
      </c>
      <c r="O45" s="54">
        <f>'SA Apr 2021'!BD31</f>
        <v>0</v>
      </c>
      <c r="P45" s="54">
        <f>'SA Apr 2021'!BE31</f>
        <v>0</v>
      </c>
      <c r="Q45" s="110" t="str">
        <f t="shared" si="35"/>
        <v>No discount</v>
      </c>
      <c r="R45" s="73" t="str">
        <f t="shared" si="30"/>
        <v>Inclusive</v>
      </c>
      <c r="S45" s="111">
        <f t="shared" si="33"/>
        <v>6389.043999999999</v>
      </c>
      <c r="T45" s="112">
        <f t="shared" si="34"/>
        <v>6389.043999999999</v>
      </c>
      <c r="U45" s="97">
        <f t="shared" si="32"/>
        <v>7027.9483999999993</v>
      </c>
      <c r="V45" s="98">
        <f t="shared" si="32"/>
        <v>7027.9483999999993</v>
      </c>
      <c r="W45" s="55">
        <f>'SA Apr 2021'!BL31</f>
        <v>0</v>
      </c>
      <c r="X45" s="56" t="str">
        <f>'SA Apr 2021'!BM31</f>
        <v>n</v>
      </c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</row>
    <row r="46" spans="1:44" ht="14" x14ac:dyDescent="0.15">
      <c r="A46" s="70" t="str">
        <f>'SA Apr 2021'!K32</f>
        <v>Simply Energy</v>
      </c>
      <c r="B46" s="49" t="str">
        <f>'SA Apr 2021'!L32</f>
        <v>Business Saver</v>
      </c>
      <c r="C46" s="46">
        <f>IF('SA Apr 2021'!BP32=0,91*'SA Apr 2021'!M32/100,(91*'SA Apr 2021'!M32/100)+'SA Apr 2021'!BP32/4)</f>
        <v>83.769636363636366</v>
      </c>
      <c r="D46" s="46">
        <f>IF('SA Apr 2021'!O32="",$C$32*$C$33*'SA Apr 2021'!N32/100,IF($C$32*$C$33&gt;='SA Apr 2021'!P32,('SA Apr 2021'!P32*'SA Apr 2021'!N32/100),($C$32*$C$33*'SA Apr 2021'!N32/100)))</f>
        <v>1262.5454545454545</v>
      </c>
      <c r="E46" s="46">
        <f>IF(AND('SA Apr 2021'!P32&gt;0,'SA Apr 2021'!R32&gt;0),IF($C$32*$C$33&lt;'SA Apr 2021'!P32,0,IF($C$32*$C$33&lt;=('SA Apr 2021'!R32+'SA Apr 2021'!P32),(($C$32*$C$33-'SA Apr 2021'!P32)*'SA Apr 2021'!Q32/100),(('SA Apr 2021'!R32)*'SA Apr 2021'!Q32/100))),0)</f>
        <v>0</v>
      </c>
      <c r="F46" s="46">
        <f>IF(AND('SA Apr 2021'!R32&gt;0,'SA Apr 2021'!T32&gt;0),IF(($C$32*$C$33&lt;'SA Apr 2021'!T32),(0),($C$32*$C$33-'SA Apr 2021'!T32)*'SA Apr 2021'!U32/100),IF(AND('SA Apr 2021'!R32&gt;0,'SA Apr 2021'!T32=""),IF(($C$32*$C$33&lt;'SA Apr 2021'!R32+'SA Apr 2021'!P32),(0),(($C$32*$C$33-('SA Apr 2021'!R32+'SA Apr 2021'!P32))*'SA Apr 2021'!S32/100)),IF(AND('SA Apr 2021'!P32&gt;0,'SA Apr 2021'!R32=""&gt;0),IF(($C$32*$C$33&lt;'SA Apr 2021'!P32),(0),($C$32*$C$33-'SA Apr 2021'!P32)*'SA Apr 2021'!Q32/100),0)))</f>
        <v>0</v>
      </c>
      <c r="G46" s="50">
        <f>($C$32*$C$34)*'SA Apr 2021'!AF32/100</f>
        <v>257.59090909090907</v>
      </c>
      <c r="H46" s="51">
        <v>0</v>
      </c>
      <c r="I46" s="52">
        <f t="shared" si="26"/>
        <v>1603.9059999999999</v>
      </c>
      <c r="J46" s="109">
        <f t="shared" si="31"/>
        <v>6080.545454545454</v>
      </c>
      <c r="K46" s="109">
        <f t="shared" si="27"/>
        <v>6415.6239999999998</v>
      </c>
      <c r="L46" s="53">
        <f t="shared" si="28"/>
        <v>7057.1864000000005</v>
      </c>
      <c r="M46" s="54">
        <f>'SA Apr 2021'!BB32</f>
        <v>11</v>
      </c>
      <c r="N46" s="54">
        <f>'SA Apr 2021'!BC32</f>
        <v>0</v>
      </c>
      <c r="O46" s="54">
        <f>'SA Apr 2021'!BD32</f>
        <v>0</v>
      </c>
      <c r="P46" s="54">
        <f>'SA Apr 2021'!BE32</f>
        <v>0</v>
      </c>
      <c r="Q46" s="110" t="str">
        <f t="shared" si="35"/>
        <v>Guaranteed off bill</v>
      </c>
      <c r="R46" s="73" t="str">
        <f t="shared" si="30"/>
        <v>Exclusive</v>
      </c>
      <c r="S46" s="111">
        <f t="shared" si="33"/>
        <v>5709.9053599999997</v>
      </c>
      <c r="T46" s="112">
        <f t="shared" si="34"/>
        <v>5709.9053599999997</v>
      </c>
      <c r="U46" s="97">
        <f t="shared" si="32"/>
        <v>6280.895896</v>
      </c>
      <c r="V46" s="98">
        <f t="shared" si="32"/>
        <v>6280.895896</v>
      </c>
      <c r="W46" s="55">
        <f>'SA Apr 2021'!BL32</f>
        <v>0</v>
      </c>
      <c r="X46" s="56" t="str">
        <f>'SA Apr 2021'!BM32</f>
        <v>n</v>
      </c>
      <c r="Y46" s="314"/>
      <c r="Z46" s="314"/>
      <c r="AA46" s="314"/>
      <c r="AB46" s="314"/>
      <c r="AC46" s="314"/>
      <c r="AD46" s="314"/>
      <c r="AE46" s="314"/>
      <c r="AF46" s="314"/>
      <c r="AG46" s="314"/>
      <c r="AH46" s="314"/>
      <c r="AI46" s="314"/>
      <c r="AJ46" s="314"/>
      <c r="AK46" s="314"/>
      <c r="AL46" s="314"/>
      <c r="AM46" s="314"/>
      <c r="AN46" s="314"/>
      <c r="AO46" s="314"/>
      <c r="AP46" s="314"/>
      <c r="AQ46" s="314"/>
      <c r="AR46" s="314"/>
    </row>
    <row r="47" spans="1:44" ht="14" x14ac:dyDescent="0.15">
      <c r="A47" s="70" t="str">
        <f>'SA Apr 2021'!K33</f>
        <v>Powershop</v>
      </c>
      <c r="B47" s="49" t="str">
        <f>'SA Apr 2021'!L33</f>
        <v>Shopper with Mega Pack</v>
      </c>
      <c r="C47" s="46">
        <f>IF('SA Apr 2021'!BP33=0,91*'SA Apr 2021'!M33/100,(91*'SA Apr 2021'!M33/100)+'SA Apr 2021'!BP33/4)</f>
        <v>109.82045454545454</v>
      </c>
      <c r="D47" s="46">
        <f>IF('SA Apr 2021'!O33="",$C$32*$C$33*'SA Apr 2021'!N33/100,IF($C$32*$C$33&gt;='SA Apr 2021'!P33,('SA Apr 2021'!P33*'SA Apr 2021'!N33/100),($C$32*$C$33*'SA Apr 2021'!N33/100)))</f>
        <v>1182.681818181818</v>
      </c>
      <c r="E47" s="46">
        <f>IF(AND('SA Apr 2021'!P33&gt;0,'SA Apr 2021'!R33&gt;0),IF($C$32*$C$33&lt;'SA Apr 2021'!P33,0,IF($C$32*$C$33&lt;=('SA Apr 2021'!R33+'SA Apr 2021'!P33),(($C$32*$C$33-'SA Apr 2021'!P33)*'SA Apr 2021'!Q33/100),(('SA Apr 2021'!R33)*'SA Apr 2021'!Q33/100))),0)</f>
        <v>0</v>
      </c>
      <c r="F47" s="46">
        <f>IF(AND('SA Apr 2021'!R33&gt;0,'SA Apr 2021'!T33&gt;0),IF(($C$32*$C$33&lt;'SA Apr 2021'!T33),(0),($C$32*$C$33-'SA Apr 2021'!T33)*'SA Apr 2021'!U33/100),IF(AND('SA Apr 2021'!R33&gt;0,'SA Apr 2021'!T33=""),IF(($C$32*$C$33&lt;'SA Apr 2021'!R33+'SA Apr 2021'!P33),(0),(($C$32*$C$33-('SA Apr 2021'!R33+'SA Apr 2021'!P33))*'SA Apr 2021'!S33/100)),IF(AND('SA Apr 2021'!P33&gt;0,'SA Apr 2021'!R33=""&gt;0),IF(($C$32*$C$33&lt;'SA Apr 2021'!P33),(0),($C$32*$C$33-'SA Apr 2021'!P33)*'SA Apr 2021'!Q33/100),0)))</f>
        <v>0</v>
      </c>
      <c r="G47" s="50">
        <f>($C$32*$C$34)*'SA Apr 2021'!AF33/100</f>
        <v>246.13636363636363</v>
      </c>
      <c r="H47" s="51">
        <v>0</v>
      </c>
      <c r="I47" s="52">
        <f t="shared" si="26"/>
        <v>1538.6386363636361</v>
      </c>
      <c r="J47" s="109">
        <f t="shared" si="31"/>
        <v>5715.2727272727261</v>
      </c>
      <c r="K47" s="109">
        <f t="shared" si="27"/>
        <v>6154.5545454545445</v>
      </c>
      <c r="L47" s="53">
        <f t="shared" si="28"/>
        <v>6770.0099999999993</v>
      </c>
      <c r="M47" s="54">
        <f>'SA Apr 2021'!BB33</f>
        <v>0</v>
      </c>
      <c r="N47" s="54">
        <f>'SA Apr 2021'!BC33</f>
        <v>0</v>
      </c>
      <c r="O47" s="54">
        <f>'SA Apr 2021'!BD33</f>
        <v>6</v>
      </c>
      <c r="P47" s="54">
        <f>'SA Apr 2021'!BE33</f>
        <v>0</v>
      </c>
      <c r="Q47" s="110" t="str">
        <f t="shared" si="35"/>
        <v>Pay-on-time off bill</v>
      </c>
      <c r="R47" s="73" t="str">
        <f t="shared" si="30"/>
        <v>Inclusive</v>
      </c>
      <c r="S47" s="111">
        <f t="shared" si="33"/>
        <v>6154.5545454545445</v>
      </c>
      <c r="T47" s="112">
        <f t="shared" si="34"/>
        <v>5785.2812727272712</v>
      </c>
      <c r="U47" s="97">
        <f t="shared" si="32"/>
        <v>6770.0099999999993</v>
      </c>
      <c r="V47" s="98">
        <f t="shared" si="32"/>
        <v>6363.8093999999992</v>
      </c>
      <c r="W47" s="55">
        <f>'SA Apr 2021'!BL33</f>
        <v>0</v>
      </c>
      <c r="X47" s="56" t="str">
        <f>'SA Apr 2021'!BM33</f>
        <v>n</v>
      </c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  <c r="AO47" s="309"/>
      <c r="AP47" s="309"/>
      <c r="AQ47" s="309"/>
      <c r="AR47" s="309"/>
    </row>
    <row r="48" spans="1:44" ht="14" x14ac:dyDescent="0.15">
      <c r="A48" s="70" t="str">
        <f>'SA Apr 2021'!K34</f>
        <v>Energy Locals</v>
      </c>
      <c r="B48" s="49" t="str">
        <f>'SA Apr 2021'!L34</f>
        <v>Business Member</v>
      </c>
      <c r="C48" s="46">
        <f>IF('SA Apr 2021'!BP34=0,91*'SA Apr 2021'!M34/100,(91*'SA Apr 2021'!M34/100)+'SA Apr 2021'!BP34/4)</f>
        <v>113.26281818181815</v>
      </c>
      <c r="D48" s="46">
        <f>IF('SA Apr 2021'!O34="",$C$32*$C$33*'SA Apr 2021'!N34/100,IF($C$32*$C$33&gt;='SA Apr 2021'!P34,('SA Apr 2021'!P34*'SA Apr 2021'!N34/100),($C$32*$C$33*'SA Apr 2021'!N34/100)))</f>
        <v>922.72727272727263</v>
      </c>
      <c r="E48" s="46">
        <f>IF(AND('SA Apr 2021'!P34&gt;0,'SA Apr 2021'!R34&gt;0),IF($C$32*$C$33&lt;'SA Apr 2021'!P34,0,IF($C$32*$C$33&lt;=('SA Apr 2021'!R34+'SA Apr 2021'!P34),(($C$32*$C$33-'SA Apr 2021'!P34)*'SA Apr 2021'!Q34/100),(('SA Apr 2021'!R34)*'SA Apr 2021'!Q34/100))),0)</f>
        <v>0</v>
      </c>
      <c r="F48" s="46">
        <f>IF(AND('SA Apr 2021'!R34&gt;0,'SA Apr 2021'!T34&gt;0),IF(($C$32*$C$33&lt;'SA Apr 2021'!T34),(0),($C$32*$C$33-'SA Apr 2021'!T34)*'SA Apr 2021'!U34/100),IF(AND('SA Apr 2021'!R34&gt;0,'SA Apr 2021'!T34=""),IF(($C$32*$C$33&lt;'SA Apr 2021'!R34+'SA Apr 2021'!P34),(0),(($C$32*$C$33-('SA Apr 2021'!R34+'SA Apr 2021'!P34))*'SA Apr 2021'!S34/100)),IF(AND('SA Apr 2021'!P34&gt;0,'SA Apr 2021'!R34=""&gt;0),IF(($C$32*$C$33&lt;'SA Apr 2021'!P34),(0),($C$32*$C$33-'SA Apr 2021'!P34)*'SA Apr 2021'!Q34/100),0)))</f>
        <v>0</v>
      </c>
      <c r="G48" s="50">
        <f>($C$32*$C$34)*'SA Apr 2021'!AF34/100</f>
        <v>245.45454545454544</v>
      </c>
      <c r="H48" s="51">
        <v>0</v>
      </c>
      <c r="I48" s="52">
        <f t="shared" si="26"/>
        <v>1281.4446363636362</v>
      </c>
      <c r="J48" s="109">
        <f t="shared" si="31"/>
        <v>4672.7272727272721</v>
      </c>
      <c r="K48" s="109">
        <f t="shared" si="27"/>
        <v>5125.7785454545447</v>
      </c>
      <c r="L48" s="53">
        <f t="shared" si="28"/>
        <v>5638.3563999999997</v>
      </c>
      <c r="M48" s="54">
        <f>'SA Apr 2021'!BB34</f>
        <v>0</v>
      </c>
      <c r="N48" s="54">
        <f>'SA Apr 2021'!BC34</f>
        <v>0</v>
      </c>
      <c r="O48" s="54">
        <f>'SA Apr 2021'!BD34</f>
        <v>0</v>
      </c>
      <c r="P48" s="54">
        <f>'SA Apr 2021'!BE34</f>
        <v>0</v>
      </c>
      <c r="Q48" s="110" t="str">
        <f t="shared" si="35"/>
        <v>No discount</v>
      </c>
      <c r="R48" s="73" t="str">
        <f t="shared" si="30"/>
        <v>Exclusive</v>
      </c>
      <c r="S48" s="111">
        <f t="shared" si="33"/>
        <v>5125.7785454545447</v>
      </c>
      <c r="T48" s="112">
        <f t="shared" si="34"/>
        <v>5125.7785454545447</v>
      </c>
      <c r="U48" s="97">
        <f t="shared" si="32"/>
        <v>5638.3563999999997</v>
      </c>
      <c r="V48" s="98">
        <f t="shared" si="32"/>
        <v>5638.3563999999997</v>
      </c>
      <c r="W48" s="55">
        <f>'SA Apr 2021'!BL34</f>
        <v>0</v>
      </c>
      <c r="X48" s="56" t="str">
        <f>'SA Apr 2021'!BM34</f>
        <v>n</v>
      </c>
      <c r="Y48" s="309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  <c r="AJ48" s="309"/>
      <c r="AK48" s="309"/>
      <c r="AL48" s="309"/>
      <c r="AM48" s="309"/>
      <c r="AN48" s="309"/>
      <c r="AO48" s="309"/>
      <c r="AP48" s="309"/>
      <c r="AQ48" s="309"/>
      <c r="AR48" s="309"/>
    </row>
    <row r="49" spans="1:44" ht="14" x14ac:dyDescent="0.15">
      <c r="A49" s="70" t="str">
        <f>'SA Apr 2021'!K35</f>
        <v>Future X Power</v>
      </c>
      <c r="B49" s="49" t="str">
        <f>'SA Apr 2021'!L35</f>
        <v>Business Smart</v>
      </c>
      <c r="C49" s="46">
        <f>IF('SA Apr 2021'!BP35=0,91*'SA Apr 2021'!M35/100,(91*'SA Apr 2021'!M35/100)+'SA Apr 2021'!BP35/4)</f>
        <v>78.077999999999989</v>
      </c>
      <c r="D49" s="46">
        <f>IF('SA Apr 2021'!O35="",$C$32*$C$33*'SA Apr 2021'!N35/100,IF($C$32*$C$33&gt;='SA Apr 2021'!P35,('SA Apr 2021'!P35*'SA Apr 2021'!N35/100),($C$32*$C$33*'SA Apr 2021'!N35/100)))</f>
        <v>1064.6363636363637</v>
      </c>
      <c r="E49" s="46">
        <f>IF(AND('SA Apr 2021'!P35&gt;0,'SA Apr 2021'!R35&gt;0),IF($C$32*$C$33&lt;'SA Apr 2021'!P35,0,IF($C$32*$C$33&lt;=('SA Apr 2021'!R35+'SA Apr 2021'!P35),(($C$32*$C$33-'SA Apr 2021'!P35)*'SA Apr 2021'!Q35/100),(('SA Apr 2021'!R35)*'SA Apr 2021'!Q35/100))),0)</f>
        <v>0</v>
      </c>
      <c r="F49" s="46">
        <f>IF(AND('SA Apr 2021'!R35&gt;0,'SA Apr 2021'!T35&gt;0),IF(($C$32*$C$33&lt;'SA Apr 2021'!T35),(0),($C$32*$C$33-'SA Apr 2021'!T35)*'SA Apr 2021'!U35/100),IF(AND('SA Apr 2021'!R35&gt;0,'SA Apr 2021'!T35=""),IF(($C$32*$C$33&lt;'SA Apr 2021'!R35+'SA Apr 2021'!P35),(0),(($C$32*$C$33-('SA Apr 2021'!R35+'SA Apr 2021'!P35))*'SA Apr 2021'!S35/100)),IF(AND('SA Apr 2021'!P35&gt;0,'SA Apr 2021'!R35=""&gt;0),IF(($C$32*$C$33&lt;'SA Apr 2021'!P35),(0),($C$32*$C$33-'SA Apr 2021'!P35)*'SA Apr 2021'!Q35/100),0)))</f>
        <v>0</v>
      </c>
      <c r="G49" s="50">
        <f>($C$32*$C$34)*'SA Apr 2021'!AF35/100</f>
        <v>234.27272727272725</v>
      </c>
      <c r="H49" s="51">
        <v>0</v>
      </c>
      <c r="I49" s="52">
        <f t="shared" si="26"/>
        <v>1376.987090909091</v>
      </c>
      <c r="J49" s="111">
        <f t="shared" si="31"/>
        <v>5195.636363636364</v>
      </c>
      <c r="K49" s="109">
        <f t="shared" si="27"/>
        <v>5507.9483636363639</v>
      </c>
      <c r="L49" s="53">
        <f t="shared" si="28"/>
        <v>6058.7432000000008</v>
      </c>
      <c r="M49" s="54">
        <f>'SA Apr 2021'!BB35</f>
        <v>0</v>
      </c>
      <c r="N49" s="54">
        <f>'SA Apr 2021'!BC35</f>
        <v>0</v>
      </c>
      <c r="O49" s="54">
        <f>'SA Apr 2021'!BD35</f>
        <v>0</v>
      </c>
      <c r="P49" s="54">
        <f>'SA Apr 2021'!BE35</f>
        <v>0</v>
      </c>
      <c r="Q49" s="110" t="str">
        <f t="shared" si="35"/>
        <v>No discount</v>
      </c>
      <c r="R49" s="73" t="str">
        <f t="shared" si="30"/>
        <v>Exclusive</v>
      </c>
      <c r="S49" s="111">
        <f t="shared" si="33"/>
        <v>5507.9483636363639</v>
      </c>
      <c r="T49" s="112">
        <f t="shared" si="34"/>
        <v>5507.9483636363639</v>
      </c>
      <c r="U49" s="97">
        <f t="shared" si="32"/>
        <v>6058.7432000000008</v>
      </c>
      <c r="V49" s="268">
        <f t="shared" si="32"/>
        <v>6058.7432000000008</v>
      </c>
      <c r="W49" s="55">
        <f>'SA Apr 2021'!BL35</f>
        <v>0</v>
      </c>
      <c r="X49" s="56" t="str">
        <f>'SA Apr 2021'!BM35</f>
        <v>n</v>
      </c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</row>
    <row r="50" spans="1:44" ht="14" x14ac:dyDescent="0.15">
      <c r="A50" s="70" t="str">
        <f>'SA Apr 2021'!K36</f>
        <v>Discover Energy</v>
      </c>
      <c r="B50" s="49" t="str">
        <f>'SA Apr 2021'!L36</f>
        <v>Business Smart Saver</v>
      </c>
      <c r="C50" s="46">
        <f>IF('SA Apr 2021'!BP36=0,91*'SA Apr 2021'!M36/100,(91*'SA Apr 2021'!M36/100)+'SA Apr 2021'!BP36/4)</f>
        <v>68.25</v>
      </c>
      <c r="D50" s="46">
        <f>IF('SA Apr 2021'!O36="",$C$32*$C$33*'SA Apr 2021'!N36/100,IF($C$32*$C$33&gt;='SA Apr 2021'!P36,('SA Apr 2021'!P36*'SA Apr 2021'!N36/100),($C$32*$C$33*'SA Apr 2021'!N36/100)))</f>
        <v>1273.3636363636363</v>
      </c>
      <c r="E50" s="46">
        <f>IF(AND('SA Apr 2021'!P36&gt;0,'SA Apr 2021'!R36&gt;0),IF($C$32*$C$33&lt;'SA Apr 2021'!P36,0,IF($C$32*$C$33&lt;=('SA Apr 2021'!R36+'SA Apr 2021'!P36),(($C$32*$C$33-'SA Apr 2021'!P36)*'SA Apr 2021'!Q36/100),(('SA Apr 2021'!R36)*'SA Apr 2021'!Q36/100))),0)</f>
        <v>0</v>
      </c>
      <c r="F50" s="46">
        <f>IF(AND('SA Apr 2021'!R36&gt;0,'SA Apr 2021'!T36&gt;0),IF(($C$32*$C$33&lt;'SA Apr 2021'!T36),(0),($C$32*$C$33-'SA Apr 2021'!T36)*'SA Apr 2021'!U36/100),IF(AND('SA Apr 2021'!R36&gt;0,'SA Apr 2021'!T36=""),IF(($C$32*$C$33&lt;'SA Apr 2021'!R36+'SA Apr 2021'!P36),(0),(($C$32*$C$33-('SA Apr 2021'!R36+'SA Apr 2021'!P36))*'SA Apr 2021'!S36/100)),IF(AND('SA Apr 2021'!P36&gt;0,'SA Apr 2021'!R36=""&gt;0),IF(($C$32*$C$33&lt;'SA Apr 2021'!P36),(0),($C$32*$C$33-'SA Apr 2021'!P36)*'SA Apr 2021'!Q36/100),0)))</f>
        <v>0</v>
      </c>
      <c r="G50" s="50">
        <f>($C$32*$C$34)*'SA Apr 2021'!AF36/100</f>
        <v>359.86363636363632</v>
      </c>
      <c r="H50" s="51">
        <v>0</v>
      </c>
      <c r="I50" s="52">
        <f t="shared" si="26"/>
        <v>1701.4772727272725</v>
      </c>
      <c r="J50" s="111">
        <f t="shared" si="31"/>
        <v>6532.9090909090901</v>
      </c>
      <c r="K50" s="109">
        <f t="shared" si="27"/>
        <v>6805.9090909090901</v>
      </c>
      <c r="L50" s="53">
        <f t="shared" si="28"/>
        <v>7486.5</v>
      </c>
      <c r="M50" s="54">
        <f>'SA Apr 2021'!BB36</f>
        <v>0</v>
      </c>
      <c r="N50" s="54">
        <f>'SA Apr 2021'!BC36</f>
        <v>15</v>
      </c>
      <c r="O50" s="54">
        <f>'SA Apr 2021'!BD36</f>
        <v>0</v>
      </c>
      <c r="P50" s="54">
        <f>'SA Apr 2021'!BE36</f>
        <v>0</v>
      </c>
      <c r="Q50" s="110" t="str">
        <f t="shared" ref="Q50:Q51" si="36">IF(SUM(M50:P50)=0,"No discount",IF(M50&gt;0,"Guaranteed off bill",IF(N50&gt;0,"Guaranteed off usage",IF(O50&gt;0,"Pay-on-time off bill","Pay-on-time off usage"))))</f>
        <v>Guaranteed off usage</v>
      </c>
      <c r="R50" s="73" t="str">
        <f t="shared" si="30"/>
        <v>Exclusive</v>
      </c>
      <c r="S50" s="111">
        <f t="shared" si="33"/>
        <v>5825.9727272727268</v>
      </c>
      <c r="T50" s="112">
        <f t="shared" si="34"/>
        <v>5825.9727272727268</v>
      </c>
      <c r="U50" s="97">
        <f t="shared" si="32"/>
        <v>6408.57</v>
      </c>
      <c r="V50" s="268">
        <f t="shared" si="32"/>
        <v>6408.57</v>
      </c>
      <c r="W50" s="55">
        <f>'SA Apr 2021'!BL36</f>
        <v>0</v>
      </c>
      <c r="X50" s="56" t="str">
        <f>'SA Apr 2021'!BM36</f>
        <v>n</v>
      </c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</row>
    <row r="51" spans="1:44" ht="14" x14ac:dyDescent="0.15">
      <c r="A51" s="70" t="str">
        <f>'SA Apr 2021'!K37</f>
        <v>ReAmped Energy</v>
      </c>
      <c r="B51" s="49" t="str">
        <f>'SA Apr 2021'!L37</f>
        <v>ReAmped Business</v>
      </c>
      <c r="C51" s="46">
        <f>IF('SA Apr 2021'!BP37=0,91*'SA Apr 2021'!M37/100,(91*'SA Apr 2021'!M37/100)+'SA Apr 2021'!BP37/4)</f>
        <v>84.63</v>
      </c>
      <c r="D51" s="46">
        <f>IF('SA Apr 2021'!O37="",$C$32*$C$33*'SA Apr 2021'!N37/100,IF($C$32*$C$33&gt;='SA Apr 2021'!P37,('SA Apr 2021'!P37*'SA Apr 2021'!N37/100),($C$32*$C$33*'SA Apr 2021'!N37/100)))</f>
        <v>938</v>
      </c>
      <c r="E51" s="46">
        <f>IF(AND('SA Apr 2021'!P37&gt;0,'SA Apr 2021'!R37&gt;0),IF($C$32*$C$33&lt;'SA Apr 2021'!P37,0,IF($C$32*$C$33&lt;=('SA Apr 2021'!R37+'SA Apr 2021'!P37),(($C$32*$C$33-'SA Apr 2021'!P37)*'SA Apr 2021'!Q37/100),(('SA Apr 2021'!R37)*'SA Apr 2021'!Q37/100))),0)</f>
        <v>0</v>
      </c>
      <c r="F51" s="46">
        <f>IF(AND('SA Apr 2021'!R37&gt;0,'SA Apr 2021'!T37&gt;0),IF(($C$32*$C$33&lt;'SA Apr 2021'!T37),(0),($C$32*$C$33-'SA Apr 2021'!T37)*'SA Apr 2021'!U37/100),IF(AND('SA Apr 2021'!R37&gt;0,'SA Apr 2021'!T37=""),IF(($C$32*$C$33&lt;'SA Apr 2021'!R37+'SA Apr 2021'!P37),(0),(($C$32*$C$33-('SA Apr 2021'!R37+'SA Apr 2021'!P37))*'SA Apr 2021'!S37/100)),IF(AND('SA Apr 2021'!P37&gt;0,'SA Apr 2021'!R37=""&gt;0),IF(($C$32*$C$33&lt;'SA Apr 2021'!P37),(0),($C$32*$C$33-'SA Apr 2021'!P37)*'SA Apr 2021'!Q37/100),0)))</f>
        <v>0</v>
      </c>
      <c r="G51" s="50">
        <f>($C$32*$C$34)*'SA Apr 2021'!AF37/100</f>
        <v>240</v>
      </c>
      <c r="H51" s="51">
        <v>0</v>
      </c>
      <c r="I51" s="52">
        <f t="shared" si="26"/>
        <v>1262.6300000000001</v>
      </c>
      <c r="J51" s="111">
        <f t="shared" si="31"/>
        <v>4712</v>
      </c>
      <c r="K51" s="109">
        <f t="shared" si="27"/>
        <v>5050.5200000000004</v>
      </c>
      <c r="L51" s="53">
        <f t="shared" si="28"/>
        <v>5555.572000000001</v>
      </c>
      <c r="M51" s="54">
        <f>'SA Apr 2021'!BB37</f>
        <v>0</v>
      </c>
      <c r="N51" s="54">
        <f>'SA Apr 2021'!BC37</f>
        <v>0</v>
      </c>
      <c r="O51" s="54">
        <f>'SA Apr 2021'!BD37</f>
        <v>0</v>
      </c>
      <c r="P51" s="54">
        <f>'SA Apr 2021'!BE37</f>
        <v>0</v>
      </c>
      <c r="Q51" s="110" t="str">
        <f t="shared" si="36"/>
        <v>No discount</v>
      </c>
      <c r="R51" s="73" t="str">
        <f t="shared" si="30"/>
        <v>Exclusive</v>
      </c>
      <c r="S51" s="111">
        <f t="shared" si="33"/>
        <v>5050.5200000000004</v>
      </c>
      <c r="T51" s="112">
        <f t="shared" si="34"/>
        <v>5050.5200000000004</v>
      </c>
      <c r="U51" s="97">
        <f t="shared" si="32"/>
        <v>5555.572000000001</v>
      </c>
      <c r="V51" s="268">
        <f t="shared" si="32"/>
        <v>5555.572000000001</v>
      </c>
      <c r="W51" s="55">
        <f>'SA Apr 2021'!BL37</f>
        <v>0</v>
      </c>
      <c r="X51" s="56" t="str">
        <f>'SA Apr 2021'!BM37</f>
        <v>n</v>
      </c>
      <c r="Y51" s="309"/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  <c r="AO51" s="309"/>
      <c r="AP51" s="309"/>
      <c r="AQ51" s="309"/>
      <c r="AR51" s="309"/>
    </row>
    <row r="52" spans="1:44" ht="14" x14ac:dyDescent="0.15">
      <c r="A52" s="70" t="str">
        <f>'SA Apr 2021'!K38</f>
        <v>Covau</v>
      </c>
      <c r="B52" s="49" t="str">
        <f>'SA Apr 2021'!L38</f>
        <v>Freedom Plus</v>
      </c>
      <c r="C52" s="46">
        <f>IF('SA Apr 2021'!BP38=0,91*'SA Apr 2021'!M38/100,(91*'SA Apr 2021'!M38/100)+'SA Apr 2021'!BP38/4)</f>
        <v>68.25</v>
      </c>
      <c r="D52" s="46">
        <f>IF('SA Apr 2021'!O38="",$C$32*$C$33*'SA Apr 2021'!N38/100,IF($C$32*$C$33&gt;='SA Apr 2021'!P38,('SA Apr 2021'!P38*'SA Apr 2021'!N38/100),($C$32*$C$33*'SA Apr 2021'!N38/100)))</f>
        <v>1074.5</v>
      </c>
      <c r="E52" s="46">
        <f>IF(AND('SA Apr 2021'!P38&gt;0,'SA Apr 2021'!R38&gt;0),IF($C$32*$C$33&lt;'SA Apr 2021'!P38,0,IF($C$32*$C$33&lt;=('SA Apr 2021'!R38+'SA Apr 2021'!P38),(($C$32*$C$33-'SA Apr 2021'!P38)*'SA Apr 2021'!Q38/100),(('SA Apr 2021'!R38)*'SA Apr 2021'!Q38/100))),0)</f>
        <v>0</v>
      </c>
      <c r="F52" s="46">
        <f>IF(AND('SA Apr 2021'!R38&gt;0,'SA Apr 2021'!T38&gt;0),IF(($C$32*$C$33&lt;'SA Apr 2021'!T38),(0),($C$32*$C$33-'SA Apr 2021'!T38)*'SA Apr 2021'!U38/100),IF(AND('SA Apr 2021'!R38&gt;0,'SA Apr 2021'!T38=""),IF(($C$32*$C$33&lt;'SA Apr 2021'!R38+'SA Apr 2021'!P38),(0),(($C$32*$C$33-('SA Apr 2021'!R38+'SA Apr 2021'!P38))*'SA Apr 2021'!S38/100)),IF(AND('SA Apr 2021'!P38&gt;0,'SA Apr 2021'!R38=""&gt;0),IF(($C$32*$C$33&lt;'SA Apr 2021'!P38),(0),($C$32*$C$33-'SA Apr 2021'!P38)*'SA Apr 2021'!Q38/100),0)))</f>
        <v>0</v>
      </c>
      <c r="G52" s="50">
        <f>($C$32*$C$34)*'SA Apr 2021'!AF38/100</f>
        <v>243.75</v>
      </c>
      <c r="H52" s="51">
        <v>1</v>
      </c>
      <c r="I52" s="52">
        <f t="shared" ref="I52:I53" si="37">SUM(C52:G52)</f>
        <v>1386.5</v>
      </c>
      <c r="J52" s="111">
        <f t="shared" ref="J52:J53" si="38">(I52-C52)*4</f>
        <v>5273</v>
      </c>
      <c r="K52" s="109">
        <f t="shared" ref="K52:K53" si="39">I52*4</f>
        <v>5546</v>
      </c>
      <c r="L52" s="53">
        <f t="shared" ref="L52:L53" si="40">K52*1.1</f>
        <v>6100.6</v>
      </c>
      <c r="M52" s="54">
        <f>'SA Apr 2021'!BB38</f>
        <v>0</v>
      </c>
      <c r="N52" s="54">
        <f>'SA Apr 2021'!BC38</f>
        <v>5</v>
      </c>
      <c r="O52" s="54">
        <f>'SA Apr 2021'!BD38</f>
        <v>0</v>
      </c>
      <c r="P52" s="54">
        <f>'SA Apr 2021'!BE38</f>
        <v>0</v>
      </c>
      <c r="Q52" s="110" t="str">
        <f t="shared" ref="Q52:Q53" si="41">IF(SUM(M52:P52)=0,"No discount",IF(M52&gt;0,"Guaranteed off bill",IF(N52&gt;0,"Guaranteed off usage",IF(O52&gt;0,"Pay-on-time off bill","Pay-on-time off usage"))))</f>
        <v>Guaranteed off usage</v>
      </c>
      <c r="R52" s="73" t="str">
        <f t="shared" ref="R52:R53" si="42">IF(OR(A52="Origin Energy",A52="Red Energy",A52="Powershop"),"Inclusive","Exclusive")</f>
        <v>Exclusive</v>
      </c>
      <c r="S52" s="111">
        <f t="shared" ref="S52:S53" si="43">IF(AND(Q52="Guaranteed off bill",R52="Inclusive"),((K52*1.1)-((K52*1.1)*M52/100))/1.1,IF(AND(Q52="Guaranteed off usage",R52="Inclusive"),((K52*1.1)-((J52*1.1)*N52/100))/1.1,IF(AND(Q52="Guaranteed off bill",R52="Exclusive"),K52-(K52*M52/100),IF(AND(Q52="Guaranteed off usage",R52="Exclusive"),K52-(J52*N52/100),IF(R52="Inclusive",((K52*1.1))/1.1,K52)))))</f>
        <v>5282.35</v>
      </c>
      <c r="T52" s="112">
        <f t="shared" ref="T52" si="44">IF(AND(Q52="Pay-on-time off bill",R52="Inclusive"),((S52*1.1)-((S52*1.1)*O52/100))/1.1,IF(AND(Q52="Pay-on-time off usage",R52="Inclusive"),((S52*1.1)-((J52*1.1)*P52/100))/1.1,IF(AND(Q52="Pay-on-time off bill",R52="Exclusive"),S52-(S52*O52/100),IF(AND(Q52="Pay-on-time off usage",R52="Exclusive"),S52-(J52*P52/100),IF(R52="Inclusive",((S52*1.1))/1.1,S52)))))</f>
        <v>5282.35</v>
      </c>
      <c r="U52" s="97">
        <f t="shared" ref="U52:U53" si="45">S52*1.1</f>
        <v>5810.5850000000009</v>
      </c>
      <c r="V52" s="268">
        <f t="shared" ref="V52:V53" si="46">T52*1.1</f>
        <v>5810.5850000000009</v>
      </c>
      <c r="W52" s="55">
        <f>'SA Apr 2021'!BL38</f>
        <v>0</v>
      </c>
      <c r="X52" s="56" t="str">
        <f>'SA Apr 2021'!BM38</f>
        <v>n</v>
      </c>
      <c r="Y52" s="309"/>
      <c r="Z52" s="309"/>
      <c r="AA52" s="309"/>
      <c r="AB52" s="309"/>
      <c r="AC52" s="309"/>
      <c r="AD52" s="309"/>
      <c r="AE52" s="309"/>
      <c r="AF52" s="309"/>
      <c r="AG52" s="309"/>
      <c r="AH52" s="309"/>
      <c r="AI52" s="309"/>
      <c r="AJ52" s="309"/>
      <c r="AK52" s="309"/>
      <c r="AL52" s="309"/>
      <c r="AM52" s="309"/>
      <c r="AN52" s="309"/>
      <c r="AO52" s="309"/>
      <c r="AP52" s="309"/>
      <c r="AQ52" s="309"/>
      <c r="AR52" s="309"/>
    </row>
    <row r="53" spans="1:44" ht="15" thickBot="1" x14ac:dyDescent="0.2">
      <c r="A53" s="71" t="str">
        <f>'SA Apr 2021'!K39</f>
        <v>1st Energy</v>
      </c>
      <c r="B53" s="57" t="str">
        <f>'SA Apr 2021'!L39</f>
        <v>1st Saver Plus</v>
      </c>
      <c r="C53" s="58">
        <f>IF('SA Apr 2021'!BP39=0,91*'SA Apr 2021'!M39/100,(91*'SA Apr 2021'!M39/100)+'SA Apr 2021'!BP39/4)</f>
        <v>74.62</v>
      </c>
      <c r="D53" s="58">
        <f>IF('SA Apr 2021'!O39="",$C$32*$C$33*'SA Apr 2021'!N39/100,IF($C$32*$C$33&gt;='SA Apr 2021'!P39,('SA Apr 2021'!P39*'SA Apr 2021'!N39/100),($C$32*$C$33*'SA Apr 2021'!N39/100)))</f>
        <v>1266.9999999999998</v>
      </c>
      <c r="E53" s="58">
        <f>IF(AND('SA Apr 2021'!P39&gt;0,'SA Apr 2021'!R39&gt;0),IF($C$32*$C$33&lt;'SA Apr 2021'!P39,0,IF($C$32*$C$33&lt;=('SA Apr 2021'!R39+'SA Apr 2021'!P39),(($C$32*$C$33-'SA Apr 2021'!P39)*'SA Apr 2021'!Q39/100),(('SA Apr 2021'!R39)*'SA Apr 2021'!Q39/100))),0)</f>
        <v>0</v>
      </c>
      <c r="F53" s="58">
        <f>IF(AND('SA Apr 2021'!R39&gt;0,'SA Apr 2021'!T39&gt;0),IF(($C$32*$C$33&lt;'SA Apr 2021'!T39),(0),($C$32*$C$33-'SA Apr 2021'!T39)*'SA Apr 2021'!U39/100),IF(AND('SA Apr 2021'!R39&gt;0,'SA Apr 2021'!T39=""),IF(($C$32*$C$33&lt;'SA Apr 2021'!R39+'SA Apr 2021'!P39),(0),(($C$32*$C$33-('SA Apr 2021'!R39+'SA Apr 2021'!P39))*'SA Apr 2021'!S39/100)),IF(AND('SA Apr 2021'!P39&gt;0,'SA Apr 2021'!R39=""&gt;0),IF(($C$32*$C$33&lt;'SA Apr 2021'!P39),(0),($C$32*$C$33-'SA Apr 2021'!P39)*'SA Apr 2021'!Q39/100),0)))</f>
        <v>0</v>
      </c>
      <c r="G53" s="59">
        <f>($C$32*$C$34)*'SA Apr 2021'!AF39/100</f>
        <v>250.2</v>
      </c>
      <c r="H53" s="60">
        <v>2</v>
      </c>
      <c r="I53" s="61">
        <f t="shared" si="37"/>
        <v>1591.82</v>
      </c>
      <c r="J53" s="113">
        <f t="shared" si="38"/>
        <v>6068.7999999999993</v>
      </c>
      <c r="K53" s="116">
        <f t="shared" si="39"/>
        <v>6367.28</v>
      </c>
      <c r="L53" s="62">
        <f t="shared" si="40"/>
        <v>7004.0080000000007</v>
      </c>
      <c r="M53" s="63">
        <f>'SA Apr 2021'!BB39</f>
        <v>4</v>
      </c>
      <c r="N53" s="63">
        <f>'SA Apr 2021'!BC39</f>
        <v>0</v>
      </c>
      <c r="O53" s="63">
        <f>'SA Apr 2021'!BD39</f>
        <v>10</v>
      </c>
      <c r="P53" s="63">
        <f>'SA Apr 2021'!BE39</f>
        <v>0</v>
      </c>
      <c r="Q53" s="115" t="str">
        <f t="shared" si="41"/>
        <v>Guaranteed off bill</v>
      </c>
      <c r="R53" s="72" t="str">
        <f t="shared" si="42"/>
        <v>Exclusive</v>
      </c>
      <c r="S53" s="113">
        <f t="shared" si="43"/>
        <v>6112.5887999999995</v>
      </c>
      <c r="T53" s="114">
        <f>S53-(S53*O53/100)</f>
        <v>5501.3299200000001</v>
      </c>
      <c r="U53" s="99">
        <f t="shared" si="45"/>
        <v>6723.8476799999999</v>
      </c>
      <c r="V53" s="101">
        <f t="shared" si="46"/>
        <v>6051.4629120000009</v>
      </c>
      <c r="W53" s="64">
        <f>'SA Apr 2021'!BL39</f>
        <v>0</v>
      </c>
      <c r="X53" s="65" t="str">
        <f>'SA Apr 2021'!BM39</f>
        <v>n</v>
      </c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</row>
    <row r="54" spans="1:44" ht="14" x14ac:dyDescent="0.15">
      <c r="A54" s="309"/>
      <c r="B54" s="309"/>
      <c r="C54" s="309"/>
      <c r="D54" s="309"/>
      <c r="E54" s="309"/>
      <c r="F54" s="309"/>
      <c r="G54" s="309"/>
      <c r="H54" s="309"/>
      <c r="I54" s="309"/>
      <c r="J54" s="309"/>
      <c r="K54" s="309"/>
      <c r="L54" s="309"/>
      <c r="M54" s="309"/>
      <c r="N54" s="309"/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  <c r="AF54" s="309"/>
      <c r="AG54" s="309"/>
      <c r="AH54" s="309"/>
      <c r="AI54" s="309"/>
      <c r="AJ54" s="309"/>
      <c r="AK54" s="309"/>
      <c r="AL54" s="309"/>
      <c r="AM54" s="309"/>
      <c r="AN54" s="309"/>
      <c r="AO54" s="309"/>
      <c r="AP54" s="309"/>
      <c r="AQ54" s="309"/>
      <c r="AR54" s="309"/>
    </row>
    <row r="55" spans="1:44" ht="15" thickBot="1" x14ac:dyDescent="0.2">
      <c r="A55" s="309"/>
      <c r="B55" s="309"/>
      <c r="C55" s="309"/>
      <c r="D55" s="309"/>
      <c r="E55" s="309"/>
      <c r="F55" s="311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11"/>
      <c r="Y55" s="314"/>
      <c r="Z55" s="314"/>
      <c r="AA55" s="314"/>
      <c r="AB55" s="314"/>
      <c r="AC55" s="314"/>
      <c r="AD55" s="314"/>
      <c r="AE55" s="314"/>
      <c r="AF55" s="314"/>
      <c r="AG55" s="314"/>
      <c r="AH55" s="314"/>
      <c r="AI55" s="314"/>
      <c r="AJ55" s="314"/>
      <c r="AK55" s="314"/>
      <c r="AL55" s="314"/>
      <c r="AM55" s="314"/>
      <c r="AN55" s="314"/>
      <c r="AO55" s="314"/>
      <c r="AP55" s="314"/>
      <c r="AQ55" s="314"/>
      <c r="AR55" s="314"/>
    </row>
    <row r="56" spans="1:44" ht="14" x14ac:dyDescent="0.15">
      <c r="A56" s="36" t="s">
        <v>176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</row>
    <row r="57" spans="1:44" ht="14" x14ac:dyDescent="0.15">
      <c r="A57" s="40" t="s">
        <v>197</v>
      </c>
      <c r="B57" s="38"/>
      <c r="C57" s="47">
        <v>5000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41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  <c r="AO57" s="309"/>
      <c r="AP57" s="309"/>
      <c r="AQ57" s="309"/>
      <c r="AR57" s="309"/>
    </row>
    <row r="58" spans="1:44" ht="14" x14ac:dyDescent="0.15">
      <c r="A58" s="40" t="s">
        <v>85</v>
      </c>
      <c r="B58" s="38"/>
      <c r="C58" s="48">
        <v>0.7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41"/>
      <c r="Y58" s="314"/>
      <c r="Z58" s="314"/>
      <c r="AA58" s="314"/>
      <c r="AB58" s="314"/>
      <c r="AC58" s="314"/>
      <c r="AD58" s="314"/>
      <c r="AE58" s="314"/>
      <c r="AF58" s="314"/>
      <c r="AG58" s="314"/>
      <c r="AH58" s="314"/>
      <c r="AI58" s="314"/>
      <c r="AJ58" s="314"/>
      <c r="AK58" s="314"/>
      <c r="AL58" s="314"/>
      <c r="AM58" s="314"/>
      <c r="AN58" s="314"/>
      <c r="AO58" s="314"/>
      <c r="AP58" s="314"/>
      <c r="AQ58" s="314"/>
      <c r="AR58" s="314"/>
    </row>
    <row r="59" spans="1:44" ht="14" x14ac:dyDescent="0.15">
      <c r="A59" s="40" t="s">
        <v>172</v>
      </c>
      <c r="B59" s="38"/>
      <c r="C59" s="48">
        <v>0.3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41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</row>
    <row r="60" spans="1:44" ht="14" x14ac:dyDescent="0.15">
      <c r="A60" s="40"/>
      <c r="B60" s="38"/>
      <c r="C60" s="38"/>
      <c r="D60" s="38"/>
      <c r="E60" s="38"/>
      <c r="F60" s="49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</row>
    <row r="61" spans="1:44" ht="75" x14ac:dyDescent="0.15">
      <c r="A61" s="317" t="s">
        <v>216</v>
      </c>
      <c r="B61" s="272" t="s">
        <v>198</v>
      </c>
      <c r="C61" s="274" t="s">
        <v>199</v>
      </c>
      <c r="D61" s="274" t="s">
        <v>200</v>
      </c>
      <c r="E61" s="274" t="s">
        <v>201</v>
      </c>
      <c r="F61" s="274" t="s">
        <v>202</v>
      </c>
      <c r="G61" s="274" t="s">
        <v>164</v>
      </c>
      <c r="H61" s="274" t="s">
        <v>173</v>
      </c>
      <c r="I61" s="274" t="s">
        <v>165</v>
      </c>
      <c r="J61" s="275" t="s">
        <v>544</v>
      </c>
      <c r="K61" s="276" t="s">
        <v>166</v>
      </c>
      <c r="L61" s="277" t="s">
        <v>545</v>
      </c>
      <c r="M61" s="278" t="s">
        <v>167</v>
      </c>
      <c r="N61" s="278" t="s">
        <v>168</v>
      </c>
      <c r="O61" s="278" t="s">
        <v>169</v>
      </c>
      <c r="P61" s="278" t="s">
        <v>170</v>
      </c>
      <c r="Q61" s="279" t="s">
        <v>541</v>
      </c>
      <c r="R61" s="279" t="s">
        <v>542</v>
      </c>
      <c r="S61" s="280" t="s">
        <v>546</v>
      </c>
      <c r="T61" s="280" t="s">
        <v>547</v>
      </c>
      <c r="U61" s="281" t="s">
        <v>227</v>
      </c>
      <c r="V61" s="281" t="s">
        <v>272</v>
      </c>
      <c r="W61" s="278" t="s">
        <v>82</v>
      </c>
      <c r="X61" s="282" t="s">
        <v>83</v>
      </c>
      <c r="Y61" s="314"/>
      <c r="Z61" s="314"/>
      <c r="AA61" s="314"/>
      <c r="AB61" s="314"/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</row>
    <row r="62" spans="1:44" ht="14" x14ac:dyDescent="0.15">
      <c r="A62" s="70" t="str">
        <f>'SA Apr 2021'!K40</f>
        <v>AGL</v>
      </c>
      <c r="B62" s="49" t="str">
        <f>'SA Apr 2021'!L40</f>
        <v>Business Essentials</v>
      </c>
      <c r="C62" s="46">
        <f>IF('SA Apr 2021'!BP40=0,91*'SA Apr 2021'!M40/100,(91*'SA Apr 2021'!M40/100)+'SA Apr 2021'!BP40/4)</f>
        <v>69.648090909090911</v>
      </c>
      <c r="D62" s="46">
        <f>IF('SA Apr 2021'!O40="",$C$57*$C$58*'SA Apr 2021'!N40/100,IF($C$57*$C$58&gt;='SA Apr 2021'!P40,('SA Apr 2021'!P40*'SA Apr 2021'!N40/100),($C$57*$C$58*'SA Apr 2021'!N40/100)))</f>
        <v>1165.8181818181815</v>
      </c>
      <c r="E62" s="46">
        <f>IF(AND('SA Apr 2021'!P40&gt;0,'SA Apr 2021'!R40&gt;0),IF($C$57*$C$58&lt;'SA Apr 2021'!P40,0,IF($C$57*$C$58&lt;=('SA Apr 2021'!R40+'SA Apr 2021'!P40),(($C$57*$C$58-'SA Apr 2021'!P40)*'SA Apr 2021'!Q40/100),(('SA Apr 2021'!R40)*'SA Apr 2021'!Q40/100))),0)</f>
        <v>0</v>
      </c>
      <c r="F62" s="46">
        <f>IF(AND('SA Apr 2021'!Q23&gt;0,'SA Apr 2021'!S23&gt;0),IF($C$57*$C$58&lt;('SA Apr 2021'!R23+'SA Apr 2021'!P23),0,IF($C$57*$C$58&lt;=('SA Apr 2021'!T23+'SA Apr 2021'!R23+'SA Apr 2021'!P23),(($C$57*$C$58-('SA Apr 2021'!R23+'SA Apr 2021'!P23))*'SA Apr 2021'!S23/100),('SA Apr 2021'!T23*'SA Apr 2021'!S23/100))),0)</f>
        <v>0</v>
      </c>
      <c r="G62" s="50">
        <f>IF(AND('SA Apr 2021'!R40&gt;0,'SA Apr 2021'!T40&gt;0),IF(($C$57*$C$58&lt;'SA Apr 2021'!T40),(0),($C$57*$C$58-'SA Apr 2021'!T40)*'SA Apr 2021'!U40/100),IF(AND('SA Apr 2021'!R40&gt;0,'SA Apr 2021'!T40=""),IF(($C$57*$C$58&lt;'SA Apr 2021'!R40+'SA Apr 2021'!P40),(0),(($C$57*$C$58-('SA Apr 2021'!R40+'SA Apr 2021'!P40))*'SA Apr 2021'!S40/100)),IF(AND('SA Apr 2021'!P40&gt;0,'SA Apr 2021'!R40=""&gt;0),IF(($C$57*$C$58&lt;'SA Apr 2021'!P40),(0),($C$57*$C$58-'SA Apr 2021'!P40)*'SA Apr 2021'!Q40/100),0)))</f>
        <v>0</v>
      </c>
      <c r="H62" s="51">
        <f>($C$57*$C$59)*'SA Apr 2021'!W40/100</f>
        <v>322.49999999999994</v>
      </c>
      <c r="I62" s="52">
        <f>SUM(C62:H62)</f>
        <v>1557.9662727272726</v>
      </c>
      <c r="J62" s="109">
        <f>(I62-C62)*4</f>
        <v>5953.2727272727261</v>
      </c>
      <c r="K62" s="109">
        <f t="shared" ref="K62:K74" si="47">I62*4</f>
        <v>6231.8650909090902</v>
      </c>
      <c r="L62" s="53">
        <f t="shared" ref="L62:L74" si="48">K62*1.1</f>
        <v>6855.0515999999998</v>
      </c>
      <c r="M62" s="54">
        <f>'SA Apr 2021'!BB40</f>
        <v>0</v>
      </c>
      <c r="N62" s="54">
        <f>'SA Apr 2021'!BC40</f>
        <v>0</v>
      </c>
      <c r="O62" s="54">
        <f>'SA Apr 2021'!BD40</f>
        <v>0</v>
      </c>
      <c r="P62" s="54">
        <f>'SA Apr 2021'!BE40</f>
        <v>0</v>
      </c>
      <c r="Q62" s="110" t="str">
        <f t="shared" ref="Q62:Q66" si="49">IF(SUM(M62:P62)=0,"No discount",IF(M62&gt;0,"Guaranteed off bill",IF(N62&gt;0,"Guaranteed off usage",IF(O62&gt;0,"Pay-on-time off bill","Pay-on-time off usage"))))</f>
        <v>No discount</v>
      </c>
      <c r="R62" s="73" t="str">
        <f t="shared" ref="R62:R74" si="50">IF(OR(A62="Origin Energy",A62="Red Energy",A62="Powershop"),"Inclusive","Exclusive")</f>
        <v>Exclusive</v>
      </c>
      <c r="S62" s="111">
        <f>IF(AND(Q62="Guaranteed off bill",R62="Inclusive"),((K62*1.1)-((K62*1.1)*M62/100))/1.1,IF(AND(Q62="Guaranteed off usage",R62="Inclusive"),((K62*1.1)-((J62*1.1)*N62/100))/1.1,IF(AND(Q62="Guaranteed off bill",R62="Exclusive"),K62-(K62*M62/100),IF(AND(Q62="Guaranteed off usage",R62="Exclusive"),K62-(J62*N62/100),IF(R62="Inclusive",((K62*1.1))/1.1,K62)))))</f>
        <v>6231.8650909090902</v>
      </c>
      <c r="T62" s="112">
        <f>IF(AND(Q62="Pay-on-time off bill",R62="Inclusive"),((S62*1.1)-((S62*1.1)*O62/100))/1.1,IF(AND(Q62="Pay-on-time off usage",R62="Inclusive"),((S62*1.1)-((J62*1.1)*P62/100))/1.1,IF(AND(Q62="Pay-on-time off bill",R62="Exclusive"),S62-(S62*O62/100),IF(AND(Q62="Pay-on-time off usage",R62="Exclusive"),S62-(J62*P62/100),IF(R62="Inclusive",((S62*1.1))/1.1,S62)))))</f>
        <v>6231.8650909090902</v>
      </c>
      <c r="U62" s="97">
        <f>S62*1.1</f>
        <v>6855.0515999999998</v>
      </c>
      <c r="V62" s="98">
        <f>T62*1.1</f>
        <v>6855.0515999999998</v>
      </c>
      <c r="W62" s="55">
        <f>'SA Apr 2021'!BL40</f>
        <v>0</v>
      </c>
      <c r="X62" s="56" t="str">
        <f>'SA Apr 2021'!BM40</f>
        <v>n</v>
      </c>
      <c r="Y62" s="309"/>
      <c r="Z62" s="309"/>
      <c r="AA62" s="309"/>
      <c r="AB62" s="309"/>
      <c r="AC62" s="309"/>
      <c r="AD62" s="309"/>
      <c r="AE62" s="309"/>
      <c r="AF62" s="309"/>
      <c r="AG62" s="309"/>
      <c r="AH62" s="309"/>
      <c r="AI62" s="309"/>
      <c r="AJ62" s="309"/>
      <c r="AK62" s="309"/>
      <c r="AL62" s="309"/>
      <c r="AM62" s="309"/>
      <c r="AN62" s="309"/>
      <c r="AO62" s="309"/>
      <c r="AP62" s="309"/>
      <c r="AQ62" s="309"/>
      <c r="AR62" s="309"/>
    </row>
    <row r="63" spans="1:44" ht="14" x14ac:dyDescent="0.15">
      <c r="A63" s="70" t="str">
        <f>'SA Apr 2021'!K41</f>
        <v>Alinta Energy</v>
      </c>
      <c r="B63" s="49" t="str">
        <f>'SA Apr 2021'!L41</f>
        <v>Business Advantage</v>
      </c>
      <c r="C63" s="46">
        <f>IF('SA Apr 2021'!BP41=0,91*'SA Apr 2021'!M41/100,(91*'SA Apr 2021'!M41/100)+'SA Apr 2021'!BP41/4)</f>
        <v>82.355000000000004</v>
      </c>
      <c r="D63" s="46">
        <f>IF('SA Apr 2021'!O41="",$C$57*$C$58*'SA Apr 2021'!N41/100,IF($C$57*$C$58&gt;='SA Apr 2021'!P41,('SA Apr 2021'!P41*'SA Apr 2021'!N41/100),($C$57*$C$58*'SA Apr 2021'!N41/100)))</f>
        <v>1350.0454545454545</v>
      </c>
      <c r="E63" s="46">
        <f>IF(AND('SA Apr 2021'!P41&gt;0,'SA Apr 2021'!R41&gt;0),IF($C$57*$C$58&lt;'SA Apr 2021'!P41,0,IF($C$57*$C$58&lt;=('SA Apr 2021'!R41+'SA Apr 2021'!P41),(($C$57*$C$58-'SA Apr 2021'!P41)*'SA Apr 2021'!Q41/100),(('SA Apr 2021'!R41)*'SA Apr 2021'!Q41/100))),0)</f>
        <v>0</v>
      </c>
      <c r="F63" s="46">
        <f>IF(AND('SA Apr 2021'!Q24&gt;0,'SA Apr 2021'!S24&gt;0),IF($C$57*$C$58&lt;('SA Apr 2021'!R24+'SA Apr 2021'!P24),0,IF($C$57*$C$58&lt;=('SA Apr 2021'!T24+'SA Apr 2021'!R24+'SA Apr 2021'!P24),(($C$57*$C$58-('SA Apr 2021'!R24+'SA Apr 2021'!P24))*'SA Apr 2021'!S24/100),('SA Apr 2021'!T24*'SA Apr 2021'!S24/100))),0)</f>
        <v>0</v>
      </c>
      <c r="G63" s="50">
        <f>IF(AND('SA Apr 2021'!R41&gt;0,'SA Apr 2021'!T41&gt;0),IF(($C$57*$C$58&lt;'SA Apr 2021'!T41),(0),($C$57*$C$58-'SA Apr 2021'!T41)*'SA Apr 2021'!U41/100),IF(AND('SA Apr 2021'!R41&gt;0,'SA Apr 2021'!T41=""),IF(($C$57*$C$58&lt;'SA Apr 2021'!R41+'SA Apr 2021'!P41),(0),(($C$57*$C$58-('SA Apr 2021'!R41+'SA Apr 2021'!P41))*'SA Apr 2021'!S41/100)),IF(AND('SA Apr 2021'!P41&gt;0,'SA Apr 2021'!R41=""&gt;0),IF(($C$57*$C$58&lt;'SA Apr 2021'!P41),(0),($C$57*$C$58-'SA Apr 2021'!P41)*'SA Apr 2021'!Q41/100),0)))</f>
        <v>0</v>
      </c>
      <c r="H63" s="51">
        <f>($C$57*$C$59)*'SA Apr 2021'!W41/100</f>
        <v>345.40909090909088</v>
      </c>
      <c r="I63" s="52">
        <f t="shared" ref="I63:I74" si="51">SUM(C63:H63)</f>
        <v>1777.8095454545455</v>
      </c>
      <c r="J63" s="109">
        <f t="shared" ref="J63:J74" si="52">(I63-C63)*4</f>
        <v>6781.818181818182</v>
      </c>
      <c r="K63" s="109">
        <f t="shared" si="47"/>
        <v>7111.2381818181821</v>
      </c>
      <c r="L63" s="53">
        <f t="shared" si="48"/>
        <v>7822.362000000001</v>
      </c>
      <c r="M63" s="54">
        <f>'SA Apr 2021'!BB41</f>
        <v>0</v>
      </c>
      <c r="N63" s="54">
        <f>'SA Apr 2021'!BC41</f>
        <v>0</v>
      </c>
      <c r="O63" s="54">
        <f>'SA Apr 2021'!BD41</f>
        <v>0</v>
      </c>
      <c r="P63" s="54">
        <f>'SA Apr 2021'!BE41</f>
        <v>0</v>
      </c>
      <c r="Q63" s="110" t="str">
        <f t="shared" si="49"/>
        <v>No discount</v>
      </c>
      <c r="R63" s="73" t="str">
        <f t="shared" si="50"/>
        <v>Exclusive</v>
      </c>
      <c r="S63" s="111">
        <f>IF(AND(Q63="Guaranteed off bill",R63="Inclusive"),((K63*1.1)-((K63*1.1)*M63/100))/1.1,IF(AND(Q63="Guaranteed off usage",R63="Inclusive"),((K63*1.1)-((J63*1.1)*N63/100))/1.1,IF(AND(Q63="Guaranteed off bill",R63="Exclusive"),K63-(K63*M63/100),IF(AND(Q63="Guaranteed off usage",R63="Exclusive"),K63-(J63*N63/100),IF(R63="Inclusive",((K63*1.1))/1.1,K63)))))</f>
        <v>7111.2381818181821</v>
      </c>
      <c r="T63" s="112">
        <f>IF(AND(Q63="Pay-on-time off bill",R63="Inclusive"),((S63*1.1)-((S63*1.1)*O63/100))/1.1,IF(AND(Q63="Pay-on-time off usage",R63="Inclusive"),((S63*1.1)-((J63*1.1)*P63/100))/1.1,IF(AND(Q63="Pay-on-time off bill",R63="Exclusive"),S63-(S63*O63/100),IF(AND(Q63="Pay-on-time off usage",R63="Exclusive"),S63-(J63*P63/100),IF(R63="Inclusive",((S63*1.1))/1.1,S63)))))</f>
        <v>7111.2381818181821</v>
      </c>
      <c r="U63" s="97">
        <f t="shared" ref="U63:V74" si="53">S63*1.1</f>
        <v>7822.362000000001</v>
      </c>
      <c r="V63" s="98">
        <f t="shared" si="53"/>
        <v>7822.362000000001</v>
      </c>
      <c r="W63" s="55">
        <f>'SA Apr 2021'!BL41</f>
        <v>0</v>
      </c>
      <c r="X63" s="56" t="str">
        <f>'SA Apr 2021'!BM41</f>
        <v>n</v>
      </c>
      <c r="Y63" s="309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309"/>
      <c r="AM63" s="309"/>
      <c r="AN63" s="309"/>
      <c r="AO63" s="309"/>
      <c r="AP63" s="309"/>
      <c r="AQ63" s="309"/>
      <c r="AR63" s="309"/>
    </row>
    <row r="64" spans="1:44" ht="14" x14ac:dyDescent="0.15">
      <c r="A64" s="70" t="str">
        <f>'SA Apr 2021'!K42</f>
        <v>Diamond Energy</v>
      </c>
      <c r="B64" s="49" t="str">
        <f>'SA Apr 2021'!L42</f>
        <v>Renewable Saver POT</v>
      </c>
      <c r="C64" s="46">
        <f>IF('SA Apr 2021'!BP42=0,91*'SA Apr 2021'!M42/100,(91*'SA Apr 2021'!M42/100)+'SA Apr 2021'!BP42/4)</f>
        <v>90.545000000000002</v>
      </c>
      <c r="D64" s="46">
        <f>IF('SA Apr 2021'!O42="",$C$57*$C$58*'SA Apr 2021'!N42/100,IF($C$57*$C$58&gt;='SA Apr 2021'!P42,('SA Apr 2021'!P42*'SA Apr 2021'!N42/100),($C$57*$C$58*'SA Apr 2021'!N42/100)))</f>
        <v>419</v>
      </c>
      <c r="E64" s="46">
        <f>IF(AND('SA Apr 2021'!P42&gt;0,'SA Apr 2021'!R42&gt;0),IF($C$57*$C$58&lt;'SA Apr 2021'!P42,0,IF($C$57*$C$58&lt;=('SA Apr 2021'!R42+'SA Apr 2021'!P42),(($C$57*$C$58-'SA Apr 2021'!P42)*'SA Apr 2021'!Q42/100),(('SA Apr 2021'!R42)*'SA Apr 2021'!Q42/100))),0)</f>
        <v>638.99999999999989</v>
      </c>
      <c r="F64" s="46">
        <f>IF(AND('SA Apr 2021'!Q25&gt;0,'SA Apr 2021'!S25&gt;0),IF($C$57*$C$58&lt;('SA Apr 2021'!R25+'SA Apr 2021'!P25),0,IF($C$57*$C$58&lt;=('SA Apr 2021'!T25+'SA Apr 2021'!R25+'SA Apr 2021'!P25),(($C$57*$C$58-('SA Apr 2021'!R25+'SA Apr 2021'!P25))*'SA Apr 2021'!S25/100),('SA Apr 2021'!T25*'SA Apr 2021'!S25/100))),0)</f>
        <v>0</v>
      </c>
      <c r="G64" s="50">
        <f>IF(AND('SA Apr 2021'!R42&gt;0,'SA Apr 2021'!T42&gt;0),IF(($C$57*$C$58&lt;'SA Apr 2021'!T42),(0),($C$57*$C$58-'SA Apr 2021'!T42)*'SA Apr 2021'!U42/100),IF(AND('SA Apr 2021'!R42&gt;0,'SA Apr 2021'!T42=""),IF(($C$57*$C$58&lt;'SA Apr 2021'!R42+'SA Apr 2021'!P42),(0),(($C$57*$C$58-('SA Apr 2021'!R42+'SA Apr 2021'!P42))*'SA Apr 2021'!S42/100)),IF(AND('SA Apr 2021'!P42&gt;0,'SA Apr 2021'!R42=""&gt;0),IF(($C$57*$C$58&lt;'SA Apr 2021'!P42),(0),($C$57*$C$58-'SA Apr 2021'!P42)*'SA Apr 2021'!Q42/100),0)))</f>
        <v>449</v>
      </c>
      <c r="H64" s="51">
        <f>($C$57*$C$59)*'SA Apr 2021'!W42/100</f>
        <v>419.31818181818176</v>
      </c>
      <c r="I64" s="52">
        <f t="shared" si="51"/>
        <v>2016.8631818181816</v>
      </c>
      <c r="J64" s="109">
        <f t="shared" si="52"/>
        <v>7705.2727272727261</v>
      </c>
      <c r="K64" s="109">
        <f t="shared" si="47"/>
        <v>8067.4527272727264</v>
      </c>
      <c r="L64" s="53">
        <f t="shared" si="48"/>
        <v>8874.1980000000003</v>
      </c>
      <c r="M64" s="54">
        <f>'SA Apr 2021'!BB42</f>
        <v>0</v>
      </c>
      <c r="N64" s="54">
        <f>'SA Apr 2021'!BC42</f>
        <v>0</v>
      </c>
      <c r="O64" s="54">
        <f>'SA Apr 2021'!BD42</f>
        <v>7</v>
      </c>
      <c r="P64" s="54">
        <f>'SA Apr 2021'!BE42</f>
        <v>0</v>
      </c>
      <c r="Q64" s="110" t="str">
        <f t="shared" si="49"/>
        <v>Pay-on-time off bill</v>
      </c>
      <c r="R64" s="73" t="str">
        <f t="shared" si="50"/>
        <v>Exclusive</v>
      </c>
      <c r="S64" s="111">
        <f t="shared" ref="S64:S74" si="54">IF(AND(Q64="Guaranteed off bill",R64="Inclusive"),((K64*1.1)-((K64*1.1)*M64/100))/1.1,IF(AND(Q64="Guaranteed off usage",R64="Inclusive"),((K64*1.1)-((J64*1.1)*N64/100))/1.1,IF(AND(Q64="Guaranteed off bill",R64="Exclusive"),K64-(K64*M64/100),IF(AND(Q64="Guaranteed off usage",R64="Exclusive"),K64-(J64*N64/100),IF(R64="Inclusive",((K64*1.1))/1.1,K64)))))</f>
        <v>8067.4527272727264</v>
      </c>
      <c r="T64" s="112">
        <f t="shared" ref="T64:T74" si="55">IF(AND(Q64="Pay-on-time off bill",R64="Inclusive"),((S64*1.1)-((S64*1.1)*O64/100))/1.1,IF(AND(Q64="Pay-on-time off usage",R64="Inclusive"),((S64*1.1)-((J64*1.1)*P64/100))/1.1,IF(AND(Q64="Pay-on-time off bill",R64="Exclusive"),S64-(S64*O64/100),IF(AND(Q64="Pay-on-time off usage",R64="Exclusive"),S64-(J64*P64/100),IF(R64="Inclusive",((S64*1.1))/1.1,S64)))))</f>
        <v>7502.7310363636352</v>
      </c>
      <c r="U64" s="97">
        <f t="shared" si="53"/>
        <v>8874.1980000000003</v>
      </c>
      <c r="V64" s="98">
        <f t="shared" si="53"/>
        <v>8253.0041399999991</v>
      </c>
      <c r="W64" s="55">
        <f>'SA Apr 2021'!BL42</f>
        <v>0</v>
      </c>
      <c r="X64" s="56" t="str">
        <f>'SA Apr 2021'!BM42</f>
        <v>n</v>
      </c>
      <c r="Y64" s="309"/>
      <c r="Z64" s="309"/>
      <c r="AA64" s="309"/>
      <c r="AB64" s="309"/>
      <c r="AC64" s="309"/>
      <c r="AD64" s="309"/>
      <c r="AE64" s="309"/>
      <c r="AF64" s="309"/>
      <c r="AG64" s="309"/>
      <c r="AH64" s="309"/>
      <c r="AI64" s="309"/>
      <c r="AJ64" s="309"/>
      <c r="AK64" s="309"/>
      <c r="AL64" s="309"/>
      <c r="AM64" s="309"/>
      <c r="AN64" s="309"/>
      <c r="AO64" s="309"/>
      <c r="AP64" s="309"/>
      <c r="AQ64" s="309"/>
      <c r="AR64" s="309"/>
    </row>
    <row r="65" spans="1:44" ht="14" x14ac:dyDescent="0.15">
      <c r="A65" s="70" t="str">
        <f>'SA Apr 2021'!K43</f>
        <v>EnergyAustralia</v>
      </c>
      <c r="B65" s="49" t="str">
        <f>'SA Apr 2021'!L43</f>
        <v>Total Plan</v>
      </c>
      <c r="C65" s="46">
        <f>IF('SA Apr 2021'!BP43=0,91*'SA Apr 2021'!M43/100,(91*'SA Apr 2021'!M43/100)+'SA Apr 2021'!BP43/4)</f>
        <v>90.63600000000001</v>
      </c>
      <c r="D65" s="46">
        <f>IF('SA Apr 2021'!O43="",$C$57*$C$58*'SA Apr 2021'!N43/100,IF($C$57*$C$58&gt;='SA Apr 2021'!P43,('SA Apr 2021'!P43*'SA Apr 2021'!N43/100),($C$57*$C$58*'SA Apr 2021'!N43/100)))</f>
        <v>1487.8181818181815</v>
      </c>
      <c r="E65" s="46">
        <f>IF(AND('SA Apr 2021'!P43&gt;0,'SA Apr 2021'!R43&gt;0),IF($C$57*$C$58&lt;'SA Apr 2021'!P43,0,IF($C$57*$C$58&lt;=('SA Apr 2021'!R43+'SA Apr 2021'!P43),(($C$57*$C$58-'SA Apr 2021'!P43)*'SA Apr 2021'!Q43/100),(('SA Apr 2021'!R43)*'SA Apr 2021'!Q43/100))),0)</f>
        <v>0</v>
      </c>
      <c r="F65" s="46">
        <f>IF(AND('SA Apr 2021'!Q26&gt;0,'SA Apr 2021'!S26&gt;0),IF($C$57*$C$58&lt;('SA Apr 2021'!R26+'SA Apr 2021'!P26),0,IF($C$57*$C$58&lt;=('SA Apr 2021'!T26+'SA Apr 2021'!R26+'SA Apr 2021'!P26),(($C$57*$C$58-('SA Apr 2021'!R26+'SA Apr 2021'!P26))*'SA Apr 2021'!S26/100),('SA Apr 2021'!T26*'SA Apr 2021'!S26/100))),0)</f>
        <v>0</v>
      </c>
      <c r="G65" s="50">
        <f>IF(AND('SA Apr 2021'!R43&gt;0,'SA Apr 2021'!T43&gt;0),IF(($C$57*$C$58&lt;'SA Apr 2021'!T43),(0),($C$57*$C$58-'SA Apr 2021'!T43)*'SA Apr 2021'!U43/100),IF(AND('SA Apr 2021'!R43&gt;0,'SA Apr 2021'!T43=""),IF(($C$57*$C$58&lt;'SA Apr 2021'!R43+'SA Apr 2021'!P43),(0),(($C$57*$C$58-('SA Apr 2021'!R43+'SA Apr 2021'!P43))*'SA Apr 2021'!S43/100)),IF(AND('SA Apr 2021'!P43&gt;0,'SA Apr 2021'!R43=""&gt;0),IF(($C$57*$C$58&lt;'SA Apr 2021'!P43),(0),($C$57*$C$58-'SA Apr 2021'!P43)*'SA Apr 2021'!Q43/100),0)))</f>
        <v>0</v>
      </c>
      <c r="H65" s="51">
        <f>($C$57*$C$59)*'SA Apr 2021'!W43/100</f>
        <v>299.0454545454545</v>
      </c>
      <c r="I65" s="52">
        <f t="shared" si="51"/>
        <v>1877.499636363636</v>
      </c>
      <c r="J65" s="109">
        <f t="shared" si="52"/>
        <v>7147.4545454545441</v>
      </c>
      <c r="K65" s="109">
        <f t="shared" si="47"/>
        <v>7509.998545454544</v>
      </c>
      <c r="L65" s="53">
        <f t="shared" si="48"/>
        <v>8260.9983999999986</v>
      </c>
      <c r="M65" s="54">
        <f>'SA Apr 2021'!BB43</f>
        <v>3</v>
      </c>
      <c r="N65" s="54">
        <f>'SA Apr 2021'!BC43</f>
        <v>0</v>
      </c>
      <c r="O65" s="54">
        <f>'SA Apr 2021'!BD43</f>
        <v>0</v>
      </c>
      <c r="P65" s="54">
        <f>'SA Apr 2021'!BE43</f>
        <v>0</v>
      </c>
      <c r="Q65" s="110" t="str">
        <f t="shared" si="49"/>
        <v>Guaranteed off bill</v>
      </c>
      <c r="R65" s="73" t="str">
        <f t="shared" si="50"/>
        <v>Exclusive</v>
      </c>
      <c r="S65" s="111">
        <f t="shared" si="54"/>
        <v>7284.6985890909073</v>
      </c>
      <c r="T65" s="112">
        <f t="shared" si="55"/>
        <v>7284.6985890909073</v>
      </c>
      <c r="U65" s="97">
        <f t="shared" si="53"/>
        <v>8013.1684479999985</v>
      </c>
      <c r="V65" s="98">
        <f t="shared" si="53"/>
        <v>8013.1684479999985</v>
      </c>
      <c r="W65" s="55">
        <f>'SA Apr 2021'!BL43</f>
        <v>0</v>
      </c>
      <c r="X65" s="56" t="str">
        <f>'SA Apr 2021'!BM43</f>
        <v>n</v>
      </c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</row>
    <row r="66" spans="1:44" ht="14" x14ac:dyDescent="0.15">
      <c r="A66" s="70" t="str">
        <f>'SA Apr 2021'!K44</f>
        <v>Momentum Energy</v>
      </c>
      <c r="B66" s="49" t="str">
        <f>'SA Apr 2021'!L44</f>
        <v>SmilePower Flexi</v>
      </c>
      <c r="C66" s="46">
        <f>IF('SA Apr 2021'!BP44=0,91*'SA Apr 2021'!M44/100,(91*'SA Apr 2021'!M44/100)+'SA Apr 2021'!BP44/4)</f>
        <v>93.994727272727275</v>
      </c>
      <c r="D66" s="46">
        <f>IF('SA Apr 2021'!O44="",$C$57*$C$58*'SA Apr 2021'!N44/100,IF($C$57*$C$58&gt;='SA Apr 2021'!P44,('SA Apr 2021'!P44*'SA Apr 2021'!N44/100),($C$57*$C$58*'SA Apr 2021'!N44/100)))</f>
        <v>1472.8636363636363</v>
      </c>
      <c r="E66" s="46">
        <f>IF(AND('SA Apr 2021'!P44&gt;0,'SA Apr 2021'!R44&gt;0),IF($C$57*$C$58&lt;'SA Apr 2021'!P44,0,IF($C$57*$C$58&lt;=('SA Apr 2021'!R44+'SA Apr 2021'!P44),(($C$57*$C$58-'SA Apr 2021'!P44)*'SA Apr 2021'!Q44/100),(('SA Apr 2021'!R44)*'SA Apr 2021'!Q44/100))),0)</f>
        <v>0</v>
      </c>
      <c r="F66" s="46">
        <f>IF(AND('SA Apr 2021'!Q28&gt;0,'SA Apr 2021'!S28&gt;0),IF($C$57*$C$58&lt;('SA Apr 2021'!R28+'SA Apr 2021'!P28),0,IF($C$57*$C$58&lt;=('SA Apr 2021'!T28+'SA Apr 2021'!R28+'SA Apr 2021'!P28),(($C$57*$C$58-('SA Apr 2021'!R28+'SA Apr 2021'!P28))*'SA Apr 2021'!S28/100),('SA Apr 2021'!T28*'SA Apr 2021'!S28/100))),0)</f>
        <v>0</v>
      </c>
      <c r="G66" s="50">
        <f>IF(AND('SA Apr 2021'!R44&gt;0,'SA Apr 2021'!T44&gt;0),IF(($C$57*$C$58&lt;'SA Apr 2021'!T44),(0),($C$57*$C$58-'SA Apr 2021'!T44)*'SA Apr 2021'!U44/100),IF(AND('SA Apr 2021'!R44&gt;0,'SA Apr 2021'!T44=""),IF(($C$57*$C$58&lt;'SA Apr 2021'!R44+'SA Apr 2021'!P44),(0),(($C$57*$C$58-('SA Apr 2021'!R44+'SA Apr 2021'!P44))*'SA Apr 2021'!S44/100)),IF(AND('SA Apr 2021'!P44&gt;0,'SA Apr 2021'!R44=""&gt;0),IF(($C$57*$C$58&lt;'SA Apr 2021'!P44),(0),($C$57*$C$58-'SA Apr 2021'!P44)*'SA Apr 2021'!Q44/100),0)))</f>
        <v>0</v>
      </c>
      <c r="H66" s="51">
        <f>($C$57*$C$59)*'SA Apr 2021'!W44/100</f>
        <v>376.36363636363632</v>
      </c>
      <c r="I66" s="52">
        <f t="shared" si="51"/>
        <v>1943.2219999999998</v>
      </c>
      <c r="J66" s="109">
        <f t="shared" si="52"/>
        <v>7396.9090909090901</v>
      </c>
      <c r="K66" s="109">
        <f t="shared" si="47"/>
        <v>7772.887999999999</v>
      </c>
      <c r="L66" s="53">
        <f t="shared" si="48"/>
        <v>8550.1767999999993</v>
      </c>
      <c r="M66" s="54">
        <f>'SA Apr 2021'!BB44</f>
        <v>0</v>
      </c>
      <c r="N66" s="54">
        <f>'SA Apr 2021'!BC44</f>
        <v>0</v>
      </c>
      <c r="O66" s="54">
        <f>'SA Apr 2021'!BD44</f>
        <v>0</v>
      </c>
      <c r="P66" s="54">
        <f>'SA Apr 2021'!BE44</f>
        <v>0</v>
      </c>
      <c r="Q66" s="110" t="str">
        <f t="shared" si="49"/>
        <v>No discount</v>
      </c>
      <c r="R66" s="73" t="str">
        <f t="shared" si="50"/>
        <v>Exclusive</v>
      </c>
      <c r="S66" s="111">
        <f t="shared" si="54"/>
        <v>7772.887999999999</v>
      </c>
      <c r="T66" s="112">
        <f t="shared" si="55"/>
        <v>7772.887999999999</v>
      </c>
      <c r="U66" s="97">
        <f t="shared" si="53"/>
        <v>8550.1767999999993</v>
      </c>
      <c r="V66" s="98">
        <f t="shared" si="53"/>
        <v>8550.1767999999993</v>
      </c>
      <c r="W66" s="55">
        <f>'SA Apr 2021'!BL44</f>
        <v>0</v>
      </c>
      <c r="X66" s="56" t="str">
        <f>'SA Apr 2021'!BM44</f>
        <v>n</v>
      </c>
      <c r="Y66" s="309"/>
      <c r="Z66" s="309"/>
      <c r="AA66" s="309"/>
      <c r="AB66" s="309"/>
      <c r="AC66" s="309"/>
      <c r="AD66" s="309"/>
      <c r="AE66" s="309"/>
      <c r="AF66" s="309"/>
      <c r="AG66" s="309"/>
      <c r="AH66" s="309"/>
      <c r="AI66" s="309"/>
      <c r="AJ66" s="309"/>
      <c r="AK66" s="309"/>
      <c r="AL66" s="309"/>
      <c r="AM66" s="309"/>
      <c r="AN66" s="309"/>
      <c r="AO66" s="309"/>
      <c r="AP66" s="309"/>
      <c r="AQ66" s="309"/>
      <c r="AR66" s="309"/>
    </row>
    <row r="67" spans="1:44" ht="14" x14ac:dyDescent="0.15">
      <c r="A67" s="70" t="str">
        <f>'SA Apr 2021'!K45</f>
        <v>Origin Energy</v>
      </c>
      <c r="B67" s="49" t="str">
        <f>'SA Apr 2021'!L45</f>
        <v xml:space="preserve">Flexi </v>
      </c>
      <c r="C67" s="46">
        <f>IF('SA Apr 2021'!BP45=0,91*'SA Apr 2021'!M45/100,(91*'SA Apr 2021'!M45/100)+'SA Apr 2021'!BP45/4)</f>
        <v>81.693181818181813</v>
      </c>
      <c r="D67" s="46">
        <f>IF('SA Apr 2021'!O45="",$C$57*$C$58*'SA Apr 2021'!N45/100,IF($C$57*$C$58&gt;='SA Apr 2021'!P45,('SA Apr 2021'!P45*'SA Apr 2021'!N45/100),($C$57*$C$58*'SA Apr 2021'!N45/100)))</f>
        <v>1419.090909090909</v>
      </c>
      <c r="E67" s="46">
        <f>IF(AND('SA Apr 2021'!P45&gt;0,'SA Apr 2021'!R45&gt;0),IF($C$57*$C$58&lt;'SA Apr 2021'!P45,0,IF($C$57*$C$58&lt;=('SA Apr 2021'!R45+'SA Apr 2021'!P45),(($C$57*$C$58-'SA Apr 2021'!P45)*'SA Apr 2021'!Q45/100),(('SA Apr 2021'!R45)*'SA Apr 2021'!Q45/100))),0)</f>
        <v>0</v>
      </c>
      <c r="F67" s="46">
        <f>IF(AND('SA Apr 2021'!Q29&gt;0,'SA Apr 2021'!S29&gt;0),IF($C$57*$C$58&lt;('SA Apr 2021'!R29+'SA Apr 2021'!P29),0,IF($C$57*$C$58&lt;=('SA Apr 2021'!T29+'SA Apr 2021'!R29+'SA Apr 2021'!P29),(($C$57*$C$58-('SA Apr 2021'!R29+'SA Apr 2021'!P29))*'SA Apr 2021'!S29/100),('SA Apr 2021'!T29*'SA Apr 2021'!S29/100))),0)</f>
        <v>0</v>
      </c>
      <c r="G67" s="50">
        <f>IF(AND('SA Apr 2021'!R45&gt;0,'SA Apr 2021'!T45&gt;0),IF(($C$57*$C$58&lt;'SA Apr 2021'!T45),(0),($C$57*$C$58-'SA Apr 2021'!T45)*'SA Apr 2021'!U45/100),IF(AND('SA Apr 2021'!R45&gt;0,'SA Apr 2021'!T45=""),IF(($C$57*$C$58&lt;'SA Apr 2021'!R45+'SA Apr 2021'!P45),(0),(($C$57*$C$58-('SA Apr 2021'!R45+'SA Apr 2021'!P45))*'SA Apr 2021'!S45/100)),IF(AND('SA Apr 2021'!P45&gt;0,'SA Apr 2021'!R45=""&gt;0),IF(($C$57*$C$58&lt;'SA Apr 2021'!P45),(0),($C$57*$C$58-'SA Apr 2021'!P45)*'SA Apr 2021'!Q45/100),0)))</f>
        <v>0</v>
      </c>
      <c r="H67" s="51">
        <f>($C$57*$C$59)*'SA Apr 2021'!W45/100</f>
        <v>382.22727272727275</v>
      </c>
      <c r="I67" s="52">
        <f t="shared" si="51"/>
        <v>1883.0113636363635</v>
      </c>
      <c r="J67" s="109">
        <f t="shared" si="52"/>
        <v>7205.272727272727</v>
      </c>
      <c r="K67" s="109">
        <f t="shared" si="47"/>
        <v>7532.045454545454</v>
      </c>
      <c r="L67" s="53">
        <f t="shared" si="48"/>
        <v>8285.25</v>
      </c>
      <c r="M67" s="54">
        <f>'SA Apr 2021'!BB45</f>
        <v>0</v>
      </c>
      <c r="N67" s="54">
        <f>'SA Apr 2021'!BC45</f>
        <v>15</v>
      </c>
      <c r="O67" s="54">
        <f>'SA Apr 2021'!BD45</f>
        <v>0</v>
      </c>
      <c r="P67" s="54">
        <f>'SA Apr 2021'!BE45</f>
        <v>0</v>
      </c>
      <c r="Q67" s="110" t="str">
        <f t="shared" ref="Q67:Q71" si="56">IF(SUM(M67:P67)=0,"No discount",IF(M67&gt;0,"Guaranteed off bill",IF(N67&gt;0,"Guaranteed off usage",IF(O67&gt;0,"Pay-on-time off bill","Pay-on-time off usage"))))</f>
        <v>Guaranteed off usage</v>
      </c>
      <c r="R67" s="73" t="str">
        <f t="shared" si="50"/>
        <v>Inclusive</v>
      </c>
      <c r="S67" s="111">
        <f t="shared" si="54"/>
        <v>6451.2545454545452</v>
      </c>
      <c r="T67" s="112">
        <f t="shared" si="55"/>
        <v>6451.2545454545452</v>
      </c>
      <c r="U67" s="97">
        <f t="shared" si="53"/>
        <v>7096.38</v>
      </c>
      <c r="V67" s="98">
        <f t="shared" si="53"/>
        <v>7096.38</v>
      </c>
      <c r="W67" s="55">
        <f>'SA Apr 2021'!BL45</f>
        <v>0</v>
      </c>
      <c r="X67" s="56" t="str">
        <f>'SA Apr 2021'!BM45</f>
        <v>n</v>
      </c>
      <c r="Y67" s="314"/>
      <c r="Z67" s="314"/>
      <c r="AA67" s="314"/>
      <c r="AB67" s="314"/>
      <c r="AC67" s="314"/>
      <c r="AD67" s="314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</row>
    <row r="68" spans="1:44" ht="14" x14ac:dyDescent="0.15">
      <c r="A68" s="70" t="str">
        <f>'SA Apr 2021'!K46</f>
        <v>Powerdirect</v>
      </c>
      <c r="B68" s="49" t="str">
        <f>'SA Apr 2021'!L46</f>
        <v>Business Rate Saver</v>
      </c>
      <c r="C68" s="46">
        <f>IF('SA Apr 2021'!BP46=0,91*'SA Apr 2021'!M46/100,(91*'SA Apr 2021'!M46/100)+'SA Apr 2021'!BP46/4)</f>
        <v>70.458818181818174</v>
      </c>
      <c r="D68" s="46">
        <f>IF('SA Apr 2021'!O46="",$C$57*$C$58*'SA Apr 2021'!N46/100,IF($C$57*$C$58&gt;='SA Apr 2021'!P46,('SA Apr 2021'!P46*'SA Apr 2021'!N46/100),($C$57*$C$58*'SA Apr 2021'!N46/100)))</f>
        <v>1179.4999999999998</v>
      </c>
      <c r="E68" s="46">
        <f>IF(AND('SA Apr 2021'!P46&gt;0,'SA Apr 2021'!R46&gt;0),IF($C$57*$C$58&lt;'SA Apr 2021'!P46,0,IF($C$57*$C$58&lt;=('SA Apr 2021'!R46+'SA Apr 2021'!P46),(($C$57*$C$58-'SA Apr 2021'!P46)*'SA Apr 2021'!Q46/100),(('SA Apr 2021'!R46)*'SA Apr 2021'!Q46/100))),0)</f>
        <v>0</v>
      </c>
      <c r="F68" s="46">
        <f>IF(AND('SA Apr 2021'!Q30&gt;0,'SA Apr 2021'!S30&gt;0),IF($C$57*$C$58&lt;('SA Apr 2021'!R30+'SA Apr 2021'!P30),0,IF($C$57*$C$58&lt;=('SA Apr 2021'!T30+'SA Apr 2021'!R30+'SA Apr 2021'!P30),(($C$57*$C$58-('SA Apr 2021'!R30+'SA Apr 2021'!P30))*'SA Apr 2021'!S30/100),('SA Apr 2021'!T30*'SA Apr 2021'!S30/100))),0)</f>
        <v>0</v>
      </c>
      <c r="G68" s="50">
        <f>IF(AND('SA Apr 2021'!R46&gt;0,'SA Apr 2021'!T46&gt;0),IF(($C$57*$C$58&lt;'SA Apr 2021'!T46),(0),($C$57*$C$58-'SA Apr 2021'!T46)*'SA Apr 2021'!U46/100),IF(AND('SA Apr 2021'!R46&gt;0,'SA Apr 2021'!T46=""),IF(($C$57*$C$58&lt;'SA Apr 2021'!R46+'SA Apr 2021'!P46),(0),(($C$57*$C$58-('SA Apr 2021'!R46+'SA Apr 2021'!P46))*'SA Apr 2021'!S46/100)),IF(AND('SA Apr 2021'!P46&gt;0,'SA Apr 2021'!R46=""&gt;0),IF(($C$57*$C$58&lt;'SA Apr 2021'!P46),(0),($C$57*$C$58-'SA Apr 2021'!P46)*'SA Apr 2021'!Q46/100),0)))</f>
        <v>0</v>
      </c>
      <c r="H68" s="51">
        <f>($C$57*$C$59)*'SA Apr 2021'!W46/100</f>
        <v>326.31818181818181</v>
      </c>
      <c r="I68" s="52">
        <f t="shared" si="51"/>
        <v>1576.2769999999998</v>
      </c>
      <c r="J68" s="109">
        <f t="shared" si="52"/>
        <v>6023.2727272727261</v>
      </c>
      <c r="K68" s="109">
        <f t="shared" si="47"/>
        <v>6305.1079999999993</v>
      </c>
      <c r="L68" s="53">
        <f t="shared" si="48"/>
        <v>6935.6188000000002</v>
      </c>
      <c r="M68" s="54">
        <f>'SA Apr 2021'!BB46</f>
        <v>0</v>
      </c>
      <c r="N68" s="54">
        <f>'SA Apr 2021'!BC46</f>
        <v>0</v>
      </c>
      <c r="O68" s="54">
        <f>'SA Apr 2021'!BD46</f>
        <v>0</v>
      </c>
      <c r="P68" s="54">
        <f>'SA Apr 2021'!BE46</f>
        <v>0</v>
      </c>
      <c r="Q68" s="110" t="str">
        <f t="shared" si="56"/>
        <v>No discount</v>
      </c>
      <c r="R68" s="73" t="str">
        <f t="shared" si="50"/>
        <v>Exclusive</v>
      </c>
      <c r="S68" s="111">
        <f t="shared" si="54"/>
        <v>6305.1079999999993</v>
      </c>
      <c r="T68" s="112">
        <f t="shared" si="55"/>
        <v>6305.1079999999993</v>
      </c>
      <c r="U68" s="97">
        <f t="shared" si="53"/>
        <v>6935.6188000000002</v>
      </c>
      <c r="V68" s="98">
        <f t="shared" si="53"/>
        <v>6935.6188000000002</v>
      </c>
      <c r="W68" s="55">
        <f>'SA Apr 2021'!BL46</f>
        <v>0</v>
      </c>
      <c r="X68" s="56" t="str">
        <f>'SA Apr 2021'!BM46</f>
        <v>n</v>
      </c>
      <c r="Y68" s="309"/>
      <c r="Z68" s="314"/>
      <c r="AA68" s="309"/>
      <c r="AB68" s="314"/>
      <c r="AC68" s="309"/>
      <c r="AD68" s="314"/>
      <c r="AE68" s="309"/>
      <c r="AF68" s="314"/>
      <c r="AG68" s="309"/>
      <c r="AH68" s="314"/>
      <c r="AI68" s="309"/>
      <c r="AJ68" s="314"/>
      <c r="AK68" s="309"/>
      <c r="AL68" s="314"/>
      <c r="AM68" s="309"/>
      <c r="AN68" s="314"/>
      <c r="AO68" s="309"/>
      <c r="AP68" s="314"/>
      <c r="AQ68" s="309"/>
      <c r="AR68" s="314"/>
    </row>
    <row r="69" spans="1:44" ht="14" x14ac:dyDescent="0.15">
      <c r="A69" s="70" t="str">
        <f>'SA Apr 2021'!K47</f>
        <v>Red Energy</v>
      </c>
      <c r="B69" s="49" t="str">
        <f>'SA Apr 2021'!L47</f>
        <v>Red Business Saver</v>
      </c>
      <c r="C69" s="46">
        <f>IF('SA Apr 2021'!BP47=0,91*'SA Apr 2021'!M47/100,(91*'SA Apr 2021'!M47/100)+'SA Apr 2021'!BP47/4)</f>
        <v>79.260999999999996</v>
      </c>
      <c r="D69" s="46">
        <f>IF('SA Apr 2021'!O47="",$C$57*$C$58*'SA Apr 2021'!N47/100,IF($C$57*$C$58&gt;='SA Apr 2021'!P47,('SA Apr 2021'!P47*'SA Apr 2021'!N47/100),($C$57*$C$58*'SA Apr 2021'!N47/100)))</f>
        <v>1235.4999999999998</v>
      </c>
      <c r="E69" s="46">
        <f>IF(AND('SA Apr 2021'!P47&gt;0,'SA Apr 2021'!R47&gt;0),IF($C$57*$C$58&lt;'SA Apr 2021'!P47,0,IF($C$57*$C$58&lt;=('SA Apr 2021'!R47+'SA Apr 2021'!P47),(($C$57*$C$58-'SA Apr 2021'!P47)*'SA Apr 2021'!Q47/100),(('SA Apr 2021'!R47)*'SA Apr 2021'!Q47/100))),0)</f>
        <v>0</v>
      </c>
      <c r="F69" s="46">
        <f>IF(AND('SA Apr 2021'!Q31&gt;0,'SA Apr 2021'!S31&gt;0),IF($C$57*$C$58&lt;('SA Apr 2021'!R31+'SA Apr 2021'!P31),0,IF($C$57*$C$58&lt;=('SA Apr 2021'!T31+'SA Apr 2021'!R31+'SA Apr 2021'!P31),(($C$57*$C$58-('SA Apr 2021'!R31+'SA Apr 2021'!P31))*'SA Apr 2021'!S31/100),('SA Apr 2021'!T31*'SA Apr 2021'!S31/100))),0)</f>
        <v>0</v>
      </c>
      <c r="G69" s="50">
        <f>IF(AND('SA Apr 2021'!R47&gt;0,'SA Apr 2021'!T47&gt;0),IF(($C$57*$C$58&lt;'SA Apr 2021'!T47),(0),($C$57*$C$58-'SA Apr 2021'!T47)*'SA Apr 2021'!U47/100),IF(AND('SA Apr 2021'!R47&gt;0,'SA Apr 2021'!T47=""),IF(($C$57*$C$58&lt;'SA Apr 2021'!R47+'SA Apr 2021'!P47),(0),(($C$57*$C$58-('SA Apr 2021'!R47+'SA Apr 2021'!P47))*'SA Apr 2021'!S47/100)),IF(AND('SA Apr 2021'!P47&gt;0,'SA Apr 2021'!R47=""&gt;0),IF(($C$57*$C$58&lt;'SA Apr 2021'!P47),(0),($C$57*$C$58-'SA Apr 2021'!P47)*'SA Apr 2021'!Q47/100),0)))</f>
        <v>0</v>
      </c>
      <c r="H69" s="51">
        <f>($C$57*$C$59)*'SA Apr 2021'!W47/100</f>
        <v>446.99999999999994</v>
      </c>
      <c r="I69" s="52">
        <f t="shared" si="51"/>
        <v>1761.7609999999997</v>
      </c>
      <c r="J69" s="109">
        <f t="shared" si="52"/>
        <v>6729.9999999999991</v>
      </c>
      <c r="K69" s="109">
        <f t="shared" si="47"/>
        <v>7047.043999999999</v>
      </c>
      <c r="L69" s="53">
        <f t="shared" si="48"/>
        <v>7751.7483999999995</v>
      </c>
      <c r="M69" s="54">
        <f>'SA Apr 2021'!BB47</f>
        <v>0</v>
      </c>
      <c r="N69" s="54">
        <f>'SA Apr 2021'!BC47</f>
        <v>0</v>
      </c>
      <c r="O69" s="54">
        <f>'SA Apr 2021'!BD47</f>
        <v>0</v>
      </c>
      <c r="P69" s="54">
        <f>'SA Apr 2021'!BE47</f>
        <v>0</v>
      </c>
      <c r="Q69" s="110" t="str">
        <f t="shared" si="56"/>
        <v>No discount</v>
      </c>
      <c r="R69" s="73" t="str">
        <f t="shared" si="50"/>
        <v>Inclusive</v>
      </c>
      <c r="S69" s="111">
        <f t="shared" si="54"/>
        <v>7047.043999999999</v>
      </c>
      <c r="T69" s="112">
        <f t="shared" si="55"/>
        <v>7047.043999999999</v>
      </c>
      <c r="U69" s="97">
        <f t="shared" si="53"/>
        <v>7751.7483999999995</v>
      </c>
      <c r="V69" s="98">
        <f t="shared" si="53"/>
        <v>7751.7483999999995</v>
      </c>
      <c r="W69" s="55">
        <f>'SA Apr 2021'!BL47</f>
        <v>0</v>
      </c>
      <c r="X69" s="56" t="str">
        <f>'SA Apr 2021'!BM47</f>
        <v>n</v>
      </c>
      <c r="Y69" s="309"/>
      <c r="Z69" s="314"/>
      <c r="AA69" s="309"/>
      <c r="AB69" s="314"/>
      <c r="AC69" s="309"/>
      <c r="AD69" s="314"/>
      <c r="AE69" s="309"/>
      <c r="AF69" s="314"/>
      <c r="AG69" s="309"/>
      <c r="AH69" s="314"/>
      <c r="AI69" s="309"/>
      <c r="AJ69" s="314"/>
      <c r="AK69" s="309"/>
      <c r="AL69" s="314"/>
      <c r="AM69" s="309"/>
      <c r="AN69" s="314"/>
      <c r="AO69" s="309"/>
      <c r="AP69" s="314"/>
      <c r="AQ69" s="309"/>
      <c r="AR69" s="314"/>
    </row>
    <row r="70" spans="1:44" ht="14" x14ac:dyDescent="0.15">
      <c r="A70" s="70" t="str">
        <f>'SA Apr 2021'!K48</f>
        <v>Powershop</v>
      </c>
      <c r="B70" s="49" t="str">
        <f>'SA Apr 2021'!L48</f>
        <v>Shopper with Mega Pack</v>
      </c>
      <c r="C70" s="46">
        <f>IF('SA Apr 2021'!BP48=0,91*'SA Apr 2021'!M48/100,(91*'SA Apr 2021'!M48/100)+'SA Apr 2021'!BP48/4)</f>
        <v>109.82045454545454</v>
      </c>
      <c r="D70" s="46">
        <f>IF('SA Apr 2021'!O48="",$C$57*$C$58*'SA Apr 2021'!N48/100,IF($C$57*$C$58&gt;='SA Apr 2021'!P48,('SA Apr 2021'!P48*'SA Apr 2021'!N48/100),($C$57*$C$58*'SA Apr 2021'!N48/100)))</f>
        <v>1099.9545454545455</v>
      </c>
      <c r="E70" s="46">
        <f>IF(AND('SA Apr 2021'!P48&gt;0,'SA Apr 2021'!R48&gt;0),IF($C$57*$C$58&lt;'SA Apr 2021'!P48,0,IF($C$57*$C$58&lt;=('SA Apr 2021'!R48+'SA Apr 2021'!P48),(($C$57*$C$58-'SA Apr 2021'!P48)*'SA Apr 2021'!Q48/100),(('SA Apr 2021'!R48)*'SA Apr 2021'!Q48/100))),0)</f>
        <v>0</v>
      </c>
      <c r="F70" s="46">
        <f>IF(AND('SA Apr 2021'!Q32&gt;0,'SA Apr 2021'!S32&gt;0),IF($C$57*$C$58&lt;('SA Apr 2021'!R32+'SA Apr 2021'!P32),0,IF($C$57*$C$58&lt;=('SA Apr 2021'!T32+'SA Apr 2021'!R32+'SA Apr 2021'!P32),(($C$57*$C$58-('SA Apr 2021'!R32+'SA Apr 2021'!P32))*'SA Apr 2021'!S32/100),('SA Apr 2021'!T32*'SA Apr 2021'!S32/100))),0)</f>
        <v>0</v>
      </c>
      <c r="G70" s="50">
        <f>IF(AND('SA Apr 2021'!R48&gt;0,'SA Apr 2021'!T48&gt;0),IF(($C$57*$C$58&lt;'SA Apr 2021'!T48),(0),($C$57*$C$58-'SA Apr 2021'!T48)*'SA Apr 2021'!U48/100),IF(AND('SA Apr 2021'!R48&gt;0,'SA Apr 2021'!T48=""),IF(($C$57*$C$58&lt;'SA Apr 2021'!R48+'SA Apr 2021'!P48),(0),(($C$57*$C$58-('SA Apr 2021'!R48+'SA Apr 2021'!P48))*'SA Apr 2021'!S48/100)),IF(AND('SA Apr 2021'!P48&gt;0,'SA Apr 2021'!R48=""&gt;0),IF(($C$57*$C$58&lt;'SA Apr 2021'!P48),(0),($C$57*$C$58-'SA Apr 2021'!P48)*'SA Apr 2021'!Q48/100),0)))</f>
        <v>0</v>
      </c>
      <c r="H70" s="51">
        <f>($C$57*$C$59)*'SA Apr 2021'!W48/100</f>
        <v>379.22727272727263</v>
      </c>
      <c r="I70" s="52">
        <f t="shared" si="51"/>
        <v>1589.0022727272726</v>
      </c>
      <c r="J70" s="109">
        <f t="shared" si="52"/>
        <v>5916.7272727272721</v>
      </c>
      <c r="K70" s="109">
        <f t="shared" si="47"/>
        <v>6356.0090909090904</v>
      </c>
      <c r="L70" s="53">
        <f t="shared" si="48"/>
        <v>6991.61</v>
      </c>
      <c r="M70" s="54">
        <f>'SA Apr 2021'!BB48</f>
        <v>0</v>
      </c>
      <c r="N70" s="54">
        <f>'SA Apr 2021'!BC48</f>
        <v>0</v>
      </c>
      <c r="O70" s="54">
        <f>'SA Apr 2021'!BD48</f>
        <v>6</v>
      </c>
      <c r="P70" s="54">
        <f>'SA Apr 2021'!BE48</f>
        <v>0</v>
      </c>
      <c r="Q70" s="110" t="str">
        <f t="shared" si="56"/>
        <v>Pay-on-time off bill</v>
      </c>
      <c r="R70" s="73" t="str">
        <f t="shared" si="50"/>
        <v>Inclusive</v>
      </c>
      <c r="S70" s="111">
        <f t="shared" si="54"/>
        <v>6356.0090909090904</v>
      </c>
      <c r="T70" s="112">
        <f t="shared" si="55"/>
        <v>5974.6485454545455</v>
      </c>
      <c r="U70" s="97">
        <f t="shared" si="53"/>
        <v>6991.61</v>
      </c>
      <c r="V70" s="98">
        <f t="shared" si="53"/>
        <v>6572.1134000000002</v>
      </c>
      <c r="W70" s="55">
        <f>'SA Apr 2021'!BL48</f>
        <v>0</v>
      </c>
      <c r="X70" s="56" t="str">
        <f>'SA Apr 2021'!BM48</f>
        <v>n</v>
      </c>
      <c r="Y70" s="309"/>
      <c r="Z70" s="314"/>
      <c r="AA70" s="309"/>
      <c r="AB70" s="314"/>
      <c r="AC70" s="309"/>
      <c r="AD70" s="314"/>
      <c r="AE70" s="309"/>
      <c r="AF70" s="314"/>
      <c r="AG70" s="309"/>
      <c r="AH70" s="314"/>
      <c r="AI70" s="309"/>
      <c r="AJ70" s="314"/>
      <c r="AK70" s="309"/>
      <c r="AL70" s="314"/>
      <c r="AM70" s="309"/>
      <c r="AN70" s="314"/>
      <c r="AO70" s="309"/>
      <c r="AP70" s="314"/>
      <c r="AQ70" s="309"/>
      <c r="AR70" s="314"/>
    </row>
    <row r="71" spans="1:44" ht="14" x14ac:dyDescent="0.15">
      <c r="A71" s="70" t="str">
        <f>'SA Apr 2021'!K49</f>
        <v>Energy Locals</v>
      </c>
      <c r="B71" s="49" t="str">
        <f>'SA Apr 2021'!L49</f>
        <v>Business Member</v>
      </c>
      <c r="C71" s="46">
        <f>IF('SA Apr 2021'!BP49=0,91*'SA Apr 2021'!M49/100,(91*'SA Apr 2021'!M49/100)+'SA Apr 2021'!BP49/4)</f>
        <v>113.26281818181815</v>
      </c>
      <c r="D71" s="46">
        <f>IF('SA Apr 2021'!O49="",$C$57*$C$58*'SA Apr 2021'!N49/100,IF($C$57*$C$58&gt;='SA Apr 2021'!P49,('SA Apr 2021'!P49*'SA Apr 2021'!N49/100),($C$57*$C$58*'SA Apr 2021'!N49/100)))</f>
        <v>986.36363636363637</v>
      </c>
      <c r="E71" s="46">
        <f>IF(AND('SA Apr 2021'!P49&gt;0,'SA Apr 2021'!R49&gt;0),IF($C$57*$C$58&lt;'SA Apr 2021'!P49,0,IF($C$57*$C$58&lt;=('SA Apr 2021'!R49+'SA Apr 2021'!P49),(($C$57*$C$58-'SA Apr 2021'!P49)*'SA Apr 2021'!Q49/100),(('SA Apr 2021'!R49)*'SA Apr 2021'!Q49/100))),0)</f>
        <v>0</v>
      </c>
      <c r="F71" s="46">
        <f>IF(AND('SA Apr 2021'!Q33&gt;0,'SA Apr 2021'!S33&gt;0),IF($C$57*$C$58&lt;('SA Apr 2021'!R33+'SA Apr 2021'!P33),0,IF($C$57*$C$58&lt;=('SA Apr 2021'!T33+'SA Apr 2021'!R33+'SA Apr 2021'!P33),(($C$57*$C$58-('SA Apr 2021'!R33+'SA Apr 2021'!P33))*'SA Apr 2021'!S33/100),('SA Apr 2021'!T33*'SA Apr 2021'!S33/100))),0)</f>
        <v>0</v>
      </c>
      <c r="G71" s="50">
        <f>IF(AND('SA Apr 2021'!R49&gt;0,'SA Apr 2021'!T49&gt;0),IF(($C$57*$C$58&lt;'SA Apr 2021'!T49),(0),($C$57*$C$58-'SA Apr 2021'!T49)*'SA Apr 2021'!U49/100),IF(AND('SA Apr 2021'!R49&gt;0,'SA Apr 2021'!T49=""),IF(($C$57*$C$58&lt;'SA Apr 2021'!R49+'SA Apr 2021'!P49),(0),(($C$57*$C$58-('SA Apr 2021'!R49+'SA Apr 2021'!P49))*'SA Apr 2021'!S49/100)),IF(AND('SA Apr 2021'!P49&gt;0,'SA Apr 2021'!R49=""&gt;0),IF(($C$57*$C$58&lt;'SA Apr 2021'!P49),(0),($C$57*$C$58-'SA Apr 2021'!P49)*'SA Apr 2021'!Q49/100),0)))</f>
        <v>0</v>
      </c>
      <c r="H71" s="51">
        <f>($C$57*$C$59)*'SA Apr 2021'!W49/100</f>
        <v>286.36363636363637</v>
      </c>
      <c r="I71" s="52">
        <f t="shared" si="51"/>
        <v>1385.9900909090911</v>
      </c>
      <c r="J71" s="109">
        <f t="shared" si="52"/>
        <v>5090.9090909090919</v>
      </c>
      <c r="K71" s="109">
        <f t="shared" si="47"/>
        <v>5543.9603636363645</v>
      </c>
      <c r="L71" s="53">
        <f t="shared" si="48"/>
        <v>6098.3564000000015</v>
      </c>
      <c r="M71" s="54">
        <f>'SA Apr 2021'!BB49</f>
        <v>0</v>
      </c>
      <c r="N71" s="54">
        <f>'SA Apr 2021'!BC49</f>
        <v>0</v>
      </c>
      <c r="O71" s="54">
        <f>'SA Apr 2021'!BD49</f>
        <v>0</v>
      </c>
      <c r="P71" s="54">
        <f>'SA Apr 2021'!BE49</f>
        <v>0</v>
      </c>
      <c r="Q71" s="110" t="str">
        <f t="shared" si="56"/>
        <v>No discount</v>
      </c>
      <c r="R71" s="73" t="str">
        <f t="shared" si="50"/>
        <v>Exclusive</v>
      </c>
      <c r="S71" s="111">
        <f t="shared" si="54"/>
        <v>5543.9603636363645</v>
      </c>
      <c r="T71" s="112">
        <f t="shared" si="55"/>
        <v>5543.9603636363645</v>
      </c>
      <c r="U71" s="97">
        <f t="shared" si="53"/>
        <v>6098.3564000000015</v>
      </c>
      <c r="V71" s="98">
        <f t="shared" si="53"/>
        <v>6098.3564000000015</v>
      </c>
      <c r="W71" s="55">
        <f>'SA Apr 2021'!BL49</f>
        <v>0</v>
      </c>
      <c r="X71" s="56" t="str">
        <f>'SA Apr 2021'!BM49</f>
        <v>n</v>
      </c>
      <c r="Y71" s="309"/>
      <c r="Z71" s="314"/>
      <c r="AA71" s="309"/>
      <c r="AB71" s="314"/>
      <c r="AC71" s="309"/>
      <c r="AD71" s="314"/>
      <c r="AE71" s="309"/>
      <c r="AF71" s="314"/>
      <c r="AG71" s="309"/>
      <c r="AH71" s="314"/>
      <c r="AI71" s="309"/>
      <c r="AJ71" s="314"/>
      <c r="AK71" s="309"/>
      <c r="AL71" s="314"/>
      <c r="AM71" s="309"/>
      <c r="AN71" s="314"/>
      <c r="AO71" s="309"/>
      <c r="AP71" s="314"/>
      <c r="AQ71" s="309"/>
      <c r="AR71" s="314"/>
    </row>
    <row r="72" spans="1:44" ht="14" x14ac:dyDescent="0.15">
      <c r="A72" s="70" t="str">
        <f>'SA Apr 2021'!K50</f>
        <v>Discover Energy</v>
      </c>
      <c r="B72" s="49" t="str">
        <f>'SA Apr 2021'!L50</f>
        <v>Business Smart Saver</v>
      </c>
      <c r="C72" s="46">
        <f>IF('SA Apr 2021'!BP50=0,91*'SA Apr 2021'!M50/100,(91*'SA Apr 2021'!M50/100)+'SA Apr 2021'!BP50/4)</f>
        <v>81.900000000000006</v>
      </c>
      <c r="D72" s="46">
        <f>IF('SA Apr 2021'!O50="",$C$57*$C$58*'SA Apr 2021'!N50/100,IF($C$57*$C$58&gt;='SA Apr 2021'!P50,('SA Apr 2021'!P50*'SA Apr 2021'!N50/100),($C$57*$C$58*'SA Apr 2021'!N50/100)))</f>
        <v>1400</v>
      </c>
      <c r="E72" s="46">
        <f>IF(AND('SA Apr 2021'!P50&gt;0,'SA Apr 2021'!R50&gt;0),IF($C$57*$C$58&lt;'SA Apr 2021'!P50,0,IF($C$57*$C$58&lt;=('SA Apr 2021'!R50+'SA Apr 2021'!P50),(($C$57*$C$58-'SA Apr 2021'!P50)*'SA Apr 2021'!Q50/100),(('SA Apr 2021'!R50)*'SA Apr 2021'!Q50/100))),0)</f>
        <v>0</v>
      </c>
      <c r="F72" s="46">
        <f>IF(AND('SA Apr 2021'!Q34&gt;0,'SA Apr 2021'!S34&gt;0),IF($C$57*$C$58&lt;('SA Apr 2021'!R34+'SA Apr 2021'!P34),0,IF($C$57*$C$58&lt;=('SA Apr 2021'!T34+'SA Apr 2021'!R34+'SA Apr 2021'!P34),(($C$57*$C$58-('SA Apr 2021'!R34+'SA Apr 2021'!P34))*'SA Apr 2021'!S34/100),('SA Apr 2021'!T34*'SA Apr 2021'!S34/100))),0)</f>
        <v>0</v>
      </c>
      <c r="G72" s="50">
        <f>IF(AND('SA Apr 2021'!R50&gt;0,'SA Apr 2021'!T50&gt;0),IF(($C$57*$C$58&lt;'SA Apr 2021'!T50),(0),($C$57*$C$58-'SA Apr 2021'!T50)*'SA Apr 2021'!U50/100),IF(AND('SA Apr 2021'!R50&gt;0,'SA Apr 2021'!T50=""),IF(($C$57*$C$58&lt;'SA Apr 2021'!R50+'SA Apr 2021'!P50),(0),(($C$57*$C$58-('SA Apr 2021'!R50+'SA Apr 2021'!P50))*'SA Apr 2021'!S50/100)),IF(AND('SA Apr 2021'!P50&gt;0,'SA Apr 2021'!R50=""&gt;0),IF(($C$57*$C$58&lt;'SA Apr 2021'!P50),(0),($C$57*$C$58-'SA Apr 2021'!P50)*'SA Apr 2021'!Q50/100),0)))</f>
        <v>0</v>
      </c>
      <c r="H72" s="51">
        <f>($C$57*$C$59)*'SA Apr 2021'!W50/100</f>
        <v>360</v>
      </c>
      <c r="I72" s="52">
        <f t="shared" si="51"/>
        <v>1841.9</v>
      </c>
      <c r="J72" s="109">
        <f t="shared" si="52"/>
        <v>7040</v>
      </c>
      <c r="K72" s="109">
        <f t="shared" si="47"/>
        <v>7367.6</v>
      </c>
      <c r="L72" s="53">
        <f t="shared" si="48"/>
        <v>8104.3600000000015</v>
      </c>
      <c r="M72" s="54">
        <f>'SA Apr 2021'!BB50</f>
        <v>0</v>
      </c>
      <c r="N72" s="54">
        <f>'SA Apr 2021'!BC50</f>
        <v>15</v>
      </c>
      <c r="O72" s="54">
        <f>'SA Apr 2021'!BD50</f>
        <v>0</v>
      </c>
      <c r="P72" s="54">
        <f>'SA Apr 2021'!BE50</f>
        <v>0</v>
      </c>
      <c r="Q72" s="110" t="str">
        <f t="shared" ref="Q72:Q74" si="57">IF(SUM(M72:P72)=0,"No discount",IF(M72&gt;0,"Guaranteed off bill",IF(N72&gt;0,"Guaranteed off usage",IF(O72&gt;0,"Pay-on-time off bill","Pay-on-time off usage"))))</f>
        <v>Guaranteed off usage</v>
      </c>
      <c r="R72" s="73" t="str">
        <f t="shared" si="50"/>
        <v>Exclusive</v>
      </c>
      <c r="S72" s="111">
        <f t="shared" si="54"/>
        <v>6311.6</v>
      </c>
      <c r="T72" s="112">
        <f t="shared" si="55"/>
        <v>6311.6</v>
      </c>
      <c r="U72" s="97">
        <f t="shared" si="53"/>
        <v>6942.7600000000011</v>
      </c>
      <c r="V72" s="98">
        <f t="shared" si="53"/>
        <v>6942.7600000000011</v>
      </c>
      <c r="W72" s="55">
        <f>'SA Apr 2021'!BL50</f>
        <v>0</v>
      </c>
      <c r="X72" s="56" t="str">
        <f>'SA Apr 2021'!BM50</f>
        <v>n</v>
      </c>
      <c r="Y72" s="309"/>
      <c r="Z72" s="314"/>
      <c r="AA72" s="309"/>
      <c r="AB72" s="314"/>
      <c r="AC72" s="309"/>
      <c r="AD72" s="314"/>
      <c r="AE72" s="309"/>
      <c r="AF72" s="314"/>
      <c r="AG72" s="309"/>
      <c r="AH72" s="314"/>
      <c r="AI72" s="309"/>
      <c r="AJ72" s="314"/>
      <c r="AK72" s="309"/>
      <c r="AL72" s="314"/>
      <c r="AM72" s="309"/>
      <c r="AN72" s="314"/>
      <c r="AO72" s="309"/>
      <c r="AP72" s="314"/>
      <c r="AQ72" s="309"/>
      <c r="AR72" s="314"/>
    </row>
    <row r="73" spans="1:44" ht="14" x14ac:dyDescent="0.15">
      <c r="A73" s="70" t="str">
        <f>'SA Apr 2021'!K51</f>
        <v>Next Business Energy</v>
      </c>
      <c r="B73" s="49" t="str">
        <f>'SA Apr 2021'!L51</f>
        <v>Assured</v>
      </c>
      <c r="C73" s="46">
        <f>IF('SA Apr 2021'!BP51=0,91*'SA Apr 2021'!M51/100,(91*'SA Apr 2021'!M51/100)+'SA Apr 2021'!BP51/4)</f>
        <v>78.169000000000011</v>
      </c>
      <c r="D73" s="46">
        <f>IF('SA Apr 2021'!O51="",$C$57*$C$58*'SA Apr 2021'!N51/100,IF($C$57*$C$58&gt;='SA Apr 2021'!P51,('SA Apr 2021'!P51*'SA Apr 2021'!N51/100),($C$57*$C$58*'SA Apr 2021'!N51/100)))</f>
        <v>1015</v>
      </c>
      <c r="E73" s="46">
        <f>IF(AND('SA Apr 2021'!P51&gt;0,'SA Apr 2021'!R51&gt;0),IF($C$57*$C$58&lt;'SA Apr 2021'!P51,0,IF($C$57*$C$58&lt;=('SA Apr 2021'!R51+'SA Apr 2021'!P51),(($C$57*$C$58-'SA Apr 2021'!P51)*'SA Apr 2021'!Q51/100),(('SA Apr 2021'!R51)*'SA Apr 2021'!Q51/100))),0)</f>
        <v>0</v>
      </c>
      <c r="F73" s="46">
        <f>IF(AND('SA Apr 2021'!Q35&gt;0,'SA Apr 2021'!S35&gt;0),IF($C$57*$C$58&lt;('SA Apr 2021'!R35+'SA Apr 2021'!P35),0,IF($C$57*$C$58&lt;=('SA Apr 2021'!T35+'SA Apr 2021'!R35+'SA Apr 2021'!P35),(($C$57*$C$58-('SA Apr 2021'!R35+'SA Apr 2021'!P35))*'SA Apr 2021'!S35/100),('SA Apr 2021'!T35*'SA Apr 2021'!S35/100))),0)</f>
        <v>0</v>
      </c>
      <c r="G73" s="50">
        <f>IF(AND('SA Apr 2021'!R51&gt;0,'SA Apr 2021'!T51&gt;0),IF(($C$57*$C$58&lt;'SA Apr 2021'!T51),(0),($C$57*$C$58-'SA Apr 2021'!T51)*'SA Apr 2021'!U51/100),IF(AND('SA Apr 2021'!R51&gt;0,'SA Apr 2021'!T51=""),IF(($C$57*$C$58&lt;'SA Apr 2021'!R51+'SA Apr 2021'!P51),(0),(($C$57*$C$58-('SA Apr 2021'!R51+'SA Apr 2021'!P51))*'SA Apr 2021'!S51/100)),IF(AND('SA Apr 2021'!P51&gt;0,'SA Apr 2021'!R51=""&gt;0),IF(($C$57*$C$58&lt;'SA Apr 2021'!P51),(0),($C$57*$C$58-'SA Apr 2021'!P51)*'SA Apr 2021'!Q51/100),0)))</f>
        <v>0</v>
      </c>
      <c r="H73" s="51">
        <f>($C$57*$C$59)*'SA Apr 2021'!W51/100</f>
        <v>292.5</v>
      </c>
      <c r="I73" s="52">
        <f t="shared" si="51"/>
        <v>1385.6690000000001</v>
      </c>
      <c r="J73" s="109">
        <f t="shared" si="52"/>
        <v>5230</v>
      </c>
      <c r="K73" s="109">
        <f t="shared" si="47"/>
        <v>5542.6760000000004</v>
      </c>
      <c r="L73" s="53">
        <f t="shared" si="48"/>
        <v>6096.9436000000005</v>
      </c>
      <c r="M73" s="54">
        <f>'SA Apr 2021'!BB51</f>
        <v>0</v>
      </c>
      <c r="N73" s="54">
        <f>'SA Apr 2021'!BC51</f>
        <v>0</v>
      </c>
      <c r="O73" s="54">
        <f>'SA Apr 2021'!BD51</f>
        <v>0</v>
      </c>
      <c r="P73" s="54">
        <f>'SA Apr 2021'!BE51</f>
        <v>0</v>
      </c>
      <c r="Q73" s="110" t="str">
        <f t="shared" si="57"/>
        <v>No discount</v>
      </c>
      <c r="R73" s="73" t="str">
        <f t="shared" si="50"/>
        <v>Exclusive</v>
      </c>
      <c r="S73" s="111">
        <f t="shared" si="54"/>
        <v>5542.6760000000004</v>
      </c>
      <c r="T73" s="112">
        <f t="shared" si="55"/>
        <v>5542.6760000000004</v>
      </c>
      <c r="U73" s="97">
        <f t="shared" si="53"/>
        <v>6096.9436000000005</v>
      </c>
      <c r="V73" s="98">
        <f t="shared" si="53"/>
        <v>6096.9436000000005</v>
      </c>
      <c r="W73" s="55">
        <f>'SA Apr 2021'!BL51</f>
        <v>0</v>
      </c>
      <c r="X73" s="56" t="str">
        <f>'SA Apr 2021'!BM51</f>
        <v>n</v>
      </c>
      <c r="Y73" s="309"/>
      <c r="Z73" s="314"/>
      <c r="AA73" s="309"/>
      <c r="AB73" s="314"/>
      <c r="AC73" s="309"/>
      <c r="AD73" s="314"/>
      <c r="AE73" s="309"/>
      <c r="AF73" s="314"/>
      <c r="AG73" s="309"/>
      <c r="AH73" s="314"/>
      <c r="AI73" s="309"/>
      <c r="AJ73" s="314"/>
      <c r="AK73" s="309"/>
      <c r="AL73" s="314"/>
      <c r="AM73" s="309"/>
      <c r="AN73" s="314"/>
      <c r="AO73" s="309"/>
      <c r="AP73" s="314"/>
      <c r="AQ73" s="309"/>
      <c r="AR73" s="314"/>
    </row>
    <row r="74" spans="1:44" ht="14" x14ac:dyDescent="0.15">
      <c r="A74" s="70" t="str">
        <f>'SA Apr 2021'!K52</f>
        <v>QEnergy</v>
      </c>
      <c r="B74" s="49" t="str">
        <f>'SA Apr 2021'!L52</f>
        <v>Biz your Way</v>
      </c>
      <c r="C74" s="46">
        <f>IF('SA Apr 2021'!BP52=0,91*'SA Apr 2021'!M52/100,(91*'SA Apr 2021'!M52/100)+'SA Apr 2021'!BP52/4)</f>
        <v>72.8</v>
      </c>
      <c r="D74" s="46">
        <f>IF('SA Apr 2021'!O52="",$C$57*$C$58*'SA Apr 2021'!N52/100,IF($C$57*$C$58&gt;='SA Apr 2021'!P52,('SA Apr 2021'!P52*'SA Apr 2021'!N52/100),($C$57*$C$58*'SA Apr 2021'!N52/100)))</f>
        <v>1635.1363636363635</v>
      </c>
      <c r="E74" s="46">
        <f>IF(AND('SA Apr 2021'!P52&gt;0,'SA Apr 2021'!R52&gt;0),IF($C$57*$C$58&lt;'SA Apr 2021'!P52,0,IF($C$57*$C$58&lt;=('SA Apr 2021'!R52+'SA Apr 2021'!P52),(($C$57*$C$58-'SA Apr 2021'!P52)*'SA Apr 2021'!Q52/100),(('SA Apr 2021'!R52)*'SA Apr 2021'!Q52/100))),0)</f>
        <v>0</v>
      </c>
      <c r="F74" s="46">
        <f>IF(AND('SA Apr 2021'!Q36&gt;0,'SA Apr 2021'!S36&gt;0),IF($C$57*$C$58&lt;('SA Apr 2021'!R36+'SA Apr 2021'!P36),0,IF($C$57*$C$58&lt;=('SA Apr 2021'!T36+'SA Apr 2021'!R36+'SA Apr 2021'!P36),(($C$57*$C$58-('SA Apr 2021'!R36+'SA Apr 2021'!P36))*'SA Apr 2021'!S36/100),('SA Apr 2021'!T36*'SA Apr 2021'!S36/100))),0)</f>
        <v>0</v>
      </c>
      <c r="G74" s="50">
        <f>IF(AND('SA Apr 2021'!R52&gt;0,'SA Apr 2021'!T52&gt;0),IF(($C$57*$C$58&lt;'SA Apr 2021'!T52),(0),($C$57*$C$58-'SA Apr 2021'!T52)*'SA Apr 2021'!U52/100),IF(AND('SA Apr 2021'!R52&gt;0,'SA Apr 2021'!T52=""),IF(($C$57*$C$58&lt;'SA Apr 2021'!R52+'SA Apr 2021'!P52),(0),(($C$57*$C$58-('SA Apr 2021'!R52+'SA Apr 2021'!P52))*'SA Apr 2021'!S52/100)),IF(AND('SA Apr 2021'!P52&gt;0,'SA Apr 2021'!R52=""&gt;0),IF(($C$57*$C$58&lt;'SA Apr 2021'!P52),(0),($C$57*$C$58-'SA Apr 2021'!P52)*'SA Apr 2021'!Q52/100),0)))</f>
        <v>0</v>
      </c>
      <c r="H74" s="51">
        <f>($C$57*$C$59)*'SA Apr 2021'!W52/100</f>
        <v>556.77272727272714</v>
      </c>
      <c r="I74" s="52">
        <f t="shared" si="51"/>
        <v>2264.7090909090907</v>
      </c>
      <c r="J74" s="109">
        <f t="shared" si="52"/>
        <v>8767.6363636363621</v>
      </c>
      <c r="K74" s="109">
        <f t="shared" si="47"/>
        <v>9058.8363636363629</v>
      </c>
      <c r="L74" s="53">
        <f t="shared" si="48"/>
        <v>9964.7199999999993</v>
      </c>
      <c r="M74" s="54">
        <f>'SA Apr 2021'!BB52</f>
        <v>0</v>
      </c>
      <c r="N74" s="54">
        <f>'SA Apr 2021'!BC52</f>
        <v>0</v>
      </c>
      <c r="O74" s="54">
        <f>'SA Apr 2021'!BD52</f>
        <v>0</v>
      </c>
      <c r="P74" s="54">
        <f>'SA Apr 2021'!BE52</f>
        <v>0</v>
      </c>
      <c r="Q74" s="110" t="str">
        <f t="shared" si="57"/>
        <v>No discount</v>
      </c>
      <c r="R74" s="73" t="str">
        <f t="shared" si="50"/>
        <v>Exclusive</v>
      </c>
      <c r="S74" s="111">
        <f t="shared" si="54"/>
        <v>9058.8363636363629</v>
      </c>
      <c r="T74" s="112">
        <f t="shared" si="55"/>
        <v>9058.8363636363629</v>
      </c>
      <c r="U74" s="97">
        <f t="shared" si="53"/>
        <v>9964.7199999999993</v>
      </c>
      <c r="V74" s="98">
        <f t="shared" si="53"/>
        <v>9964.7199999999993</v>
      </c>
      <c r="W74" s="55">
        <f>'SA Apr 2021'!BL52</f>
        <v>0</v>
      </c>
      <c r="X74" s="56" t="str">
        <f>'SA Apr 2021'!BM52</f>
        <v>n</v>
      </c>
      <c r="Y74" s="309"/>
      <c r="Z74" s="314"/>
      <c r="AA74" s="309"/>
      <c r="AB74" s="314"/>
      <c r="AC74" s="309"/>
      <c r="AD74" s="314"/>
      <c r="AE74" s="309"/>
      <c r="AF74" s="314"/>
      <c r="AG74" s="309"/>
      <c r="AH74" s="314"/>
      <c r="AI74" s="309"/>
      <c r="AJ74" s="314"/>
      <c r="AK74" s="309"/>
      <c r="AL74" s="314"/>
      <c r="AM74" s="309"/>
      <c r="AN74" s="314"/>
      <c r="AO74" s="309"/>
      <c r="AP74" s="314"/>
      <c r="AQ74" s="309"/>
      <c r="AR74" s="314"/>
    </row>
    <row r="75" spans="1:44" ht="14" x14ac:dyDescent="0.15">
      <c r="A75" s="70" t="str">
        <f>'SA Apr 2021'!K53</f>
        <v>Lumo Energy</v>
      </c>
      <c r="B75" s="49" t="str">
        <f>'SA Apr 2021'!L53</f>
        <v>Basic</v>
      </c>
      <c r="C75" s="46">
        <f>IF('SA Apr 2021'!BP53=0,91*'SA Apr 2021'!M53/100,(91*'SA Apr 2021'!M53/100)+'SA Apr 2021'!BP53/4)</f>
        <v>78.276545454545442</v>
      </c>
      <c r="D75" s="46">
        <f>IF('SA Apr 2021'!O53="",$C$57*$C$58*'SA Apr 2021'!N53/100,IF($C$57*$C$58&gt;='SA Apr 2021'!P53,('SA Apr 2021'!P53*'SA Apr 2021'!N53/100),($C$57*$C$58*'SA Apr 2021'!N53/100)))</f>
        <v>1258.2500000000002</v>
      </c>
      <c r="E75" s="46">
        <f>IF(AND('SA Apr 2021'!P53&gt;0,'SA Apr 2021'!R53&gt;0),IF($C$57*$C$58&lt;'SA Apr 2021'!P53,0,IF($C$57*$C$58&lt;=('SA Apr 2021'!R53+'SA Apr 2021'!P53),(($C$57*$C$58-'SA Apr 2021'!P53)*'SA Apr 2021'!Q53/100),(('SA Apr 2021'!R53)*'SA Apr 2021'!Q53/100))),0)</f>
        <v>0</v>
      </c>
      <c r="F75" s="46">
        <f>IF(AND('SA Apr 2021'!Q37&gt;0,'SA Apr 2021'!S37&gt;0),IF($C$57*$C$58&lt;('SA Apr 2021'!R37+'SA Apr 2021'!P37),0,IF($C$57*$C$58&lt;=('SA Apr 2021'!T37+'SA Apr 2021'!R37+'SA Apr 2021'!P37),(($C$57*$C$58-('SA Apr 2021'!R37+'SA Apr 2021'!P37))*'SA Apr 2021'!S37/100),('SA Apr 2021'!T37*'SA Apr 2021'!S37/100))),0)</f>
        <v>0</v>
      </c>
      <c r="G75" s="50">
        <f>IF(AND('SA Apr 2021'!R53&gt;0,'SA Apr 2021'!T53&gt;0),IF(($C$57*$C$58&lt;'SA Apr 2021'!T53),(0),($C$57*$C$58-'SA Apr 2021'!T53)*'SA Apr 2021'!U53/100),IF(AND('SA Apr 2021'!R53&gt;0,'SA Apr 2021'!T53=""),IF(($C$57*$C$58&lt;'SA Apr 2021'!R53+'SA Apr 2021'!P53),(0),(($C$57*$C$58-('SA Apr 2021'!R53+'SA Apr 2021'!P53))*'SA Apr 2021'!S53/100)),IF(AND('SA Apr 2021'!P53&gt;0,'SA Apr 2021'!R53=""&gt;0),IF(($C$57*$C$58&lt;'SA Apr 2021'!P53),(0),($C$57*$C$58-'SA Apr 2021'!P53)*'SA Apr 2021'!Q53/100),0)))</f>
        <v>0</v>
      </c>
      <c r="H75" s="51">
        <f>($C$57*$C$59)*'SA Apr 2021'!W53/100</f>
        <v>352.65</v>
      </c>
      <c r="I75" s="52">
        <f t="shared" ref="I75:I79" si="58">SUM(C75:H75)</f>
        <v>1689.1765454545457</v>
      </c>
      <c r="J75" s="109">
        <f t="shared" ref="J75:J79" si="59">(I75-C75)*4</f>
        <v>6443.6000000000013</v>
      </c>
      <c r="K75" s="109">
        <f t="shared" ref="K75:K79" si="60">I75*4</f>
        <v>6756.7061818181828</v>
      </c>
      <c r="L75" s="53">
        <f t="shared" ref="L75:L79" si="61">K75*1.1</f>
        <v>7432.3768000000018</v>
      </c>
      <c r="M75" s="54">
        <f>'SA Apr 2021'!BB53</f>
        <v>0</v>
      </c>
      <c r="N75" s="54">
        <f>'SA Apr 2021'!BC53</f>
        <v>0</v>
      </c>
      <c r="O75" s="54">
        <f>'SA Apr 2021'!BD53</f>
        <v>0</v>
      </c>
      <c r="P75" s="54">
        <f>'SA Apr 2021'!BE53</f>
        <v>0</v>
      </c>
      <c r="Q75" s="110" t="str">
        <f t="shared" ref="Q75:Q79" si="62">IF(SUM(M75:P75)=0,"No discount",IF(M75&gt;0,"Guaranteed off bill",IF(N75&gt;0,"Guaranteed off usage",IF(O75&gt;0,"Pay-on-time off bill","Pay-on-time off usage"))))</f>
        <v>No discount</v>
      </c>
      <c r="R75" s="73" t="str">
        <f t="shared" ref="R75:R79" si="63">IF(OR(A75="Origin Energy",A75="Red Energy",A75="Powershop"),"Inclusive","Exclusive")</f>
        <v>Exclusive</v>
      </c>
      <c r="S75" s="111">
        <f t="shared" ref="S75:S79" si="64">IF(AND(Q75="Guaranteed off bill",R75="Inclusive"),((K75*1.1)-((K75*1.1)*M75/100))/1.1,IF(AND(Q75="Guaranteed off usage",R75="Inclusive"),((K75*1.1)-((J75*1.1)*N75/100))/1.1,IF(AND(Q75="Guaranteed off bill",R75="Exclusive"),K75-(K75*M75/100),IF(AND(Q75="Guaranteed off usage",R75="Exclusive"),K75-(J75*N75/100),IF(R75="Inclusive",((K75*1.1))/1.1,K75)))))</f>
        <v>6756.7061818181828</v>
      </c>
      <c r="T75" s="112">
        <f t="shared" ref="T75:T78" si="65">IF(AND(Q75="Pay-on-time off bill",R75="Inclusive"),((S75*1.1)-((S75*1.1)*O75/100))/1.1,IF(AND(Q75="Pay-on-time off usage",R75="Inclusive"),((S75*1.1)-((J75*1.1)*P75/100))/1.1,IF(AND(Q75="Pay-on-time off bill",R75="Exclusive"),S75-(S75*O75/100),IF(AND(Q75="Pay-on-time off usage",R75="Exclusive"),S75-(J75*P75/100),IF(R75="Inclusive",((S75*1.1))/1.1,S75)))))</f>
        <v>6756.7061818181828</v>
      </c>
      <c r="U75" s="97">
        <f t="shared" ref="U75:U79" si="66">S75*1.1</f>
        <v>7432.3768000000018</v>
      </c>
      <c r="V75" s="98">
        <f t="shared" ref="V75:V79" si="67">T75*1.1</f>
        <v>7432.3768000000018</v>
      </c>
      <c r="W75" s="55">
        <f>'SA Apr 2021'!BL53</f>
        <v>0</v>
      </c>
      <c r="X75" s="56" t="str">
        <f>'SA Apr 2021'!BM53</f>
        <v>n</v>
      </c>
      <c r="Y75" s="309"/>
      <c r="Z75" s="314"/>
      <c r="AA75" s="309"/>
      <c r="AB75" s="314"/>
      <c r="AC75" s="309"/>
      <c r="AD75" s="314"/>
      <c r="AE75" s="309"/>
      <c r="AF75" s="314"/>
      <c r="AG75" s="309"/>
      <c r="AH75" s="314"/>
      <c r="AI75" s="309"/>
      <c r="AJ75" s="314"/>
      <c r="AK75" s="309"/>
      <c r="AL75" s="314"/>
      <c r="AM75" s="309"/>
      <c r="AN75" s="314"/>
      <c r="AO75" s="309"/>
      <c r="AP75" s="314"/>
      <c r="AQ75" s="309"/>
      <c r="AR75" s="314"/>
    </row>
    <row r="76" spans="1:44" ht="14" x14ac:dyDescent="0.15">
      <c r="A76" s="70" t="str">
        <f>'SA Apr 2021'!K54</f>
        <v>Simply Energy</v>
      </c>
      <c r="B76" s="49" t="str">
        <f>'SA Apr 2021'!L54</f>
        <v>Business Saver</v>
      </c>
      <c r="C76" s="46">
        <f>IF('SA Apr 2021'!BP54=0,91*'SA Apr 2021'!M54/100,(91*'SA Apr 2021'!M54/100)+'SA Apr 2021'!BP54/4)</f>
        <v>78.605800000000002</v>
      </c>
      <c r="D76" s="46">
        <f>IF('SA Apr 2021'!O54="",$C$57*$C$58*'SA Apr 2021'!N54/100,IF($C$57*$C$58&gt;='SA Apr 2021'!P54,('SA Apr 2021'!P54*'SA Apr 2021'!N54/100),($C$57*$C$58*'SA Apr 2021'!N54/100)))</f>
        <v>1528.1</v>
      </c>
      <c r="E76" s="46">
        <f>IF(AND('SA Apr 2021'!P54&gt;0,'SA Apr 2021'!R54&gt;0),IF($C$57*$C$58&lt;'SA Apr 2021'!P54,0,IF($C$57*$C$58&lt;=('SA Apr 2021'!R54+'SA Apr 2021'!P54),(($C$57*$C$58-'SA Apr 2021'!P54)*'SA Apr 2021'!Q54/100),(('SA Apr 2021'!R54)*'SA Apr 2021'!Q54/100))),0)</f>
        <v>0</v>
      </c>
      <c r="F76" s="46">
        <f>IF(AND('SA Apr 2021'!Q38&gt;0,'SA Apr 2021'!S38&gt;0),IF($C$57*$C$58&lt;('SA Apr 2021'!R38+'SA Apr 2021'!P38),0,IF($C$57*$C$58&lt;=('SA Apr 2021'!T38+'SA Apr 2021'!R38+'SA Apr 2021'!P38),(($C$57*$C$58-('SA Apr 2021'!R38+'SA Apr 2021'!P38))*'SA Apr 2021'!S38/100),('SA Apr 2021'!T38*'SA Apr 2021'!S38/100))),0)</f>
        <v>0</v>
      </c>
      <c r="G76" s="50">
        <f>IF(AND('SA Apr 2021'!R54&gt;0,'SA Apr 2021'!T54&gt;0),IF(($C$57*$C$58&lt;'SA Apr 2021'!T54),(0),($C$57*$C$58-'SA Apr 2021'!T54)*'SA Apr 2021'!U54/100),IF(AND('SA Apr 2021'!R54&gt;0,'SA Apr 2021'!T54=""),IF(($C$57*$C$58&lt;'SA Apr 2021'!R54+'SA Apr 2021'!P54),(0),(($C$57*$C$58-('SA Apr 2021'!R54+'SA Apr 2021'!P54))*'SA Apr 2021'!S54/100)),IF(AND('SA Apr 2021'!P54&gt;0,'SA Apr 2021'!R54=""&gt;0),IF(($C$57*$C$58&lt;'SA Apr 2021'!P54),(0),($C$57*$C$58-'SA Apr 2021'!P54)*'SA Apr 2021'!Q54/100),0)))</f>
        <v>0</v>
      </c>
      <c r="H76" s="51">
        <f>($C$57*$C$59)*'SA Apr 2021'!W54/100</f>
        <v>385.2</v>
      </c>
      <c r="I76" s="52">
        <f t="shared" si="58"/>
        <v>1991.9058</v>
      </c>
      <c r="J76" s="109">
        <f t="shared" si="59"/>
        <v>7653.2</v>
      </c>
      <c r="K76" s="109">
        <f t="shared" si="60"/>
        <v>7967.6232</v>
      </c>
      <c r="L76" s="53">
        <f t="shared" si="61"/>
        <v>8764.3855199999998</v>
      </c>
      <c r="M76" s="54">
        <f>'SA Apr 2021'!BB54</f>
        <v>11</v>
      </c>
      <c r="N76" s="54">
        <f>'SA Apr 2021'!BC54</f>
        <v>0</v>
      </c>
      <c r="O76" s="54">
        <f>'SA Apr 2021'!BD54</f>
        <v>0</v>
      </c>
      <c r="P76" s="54">
        <f>'SA Apr 2021'!BE54</f>
        <v>0</v>
      </c>
      <c r="Q76" s="110" t="str">
        <f t="shared" si="62"/>
        <v>Guaranteed off bill</v>
      </c>
      <c r="R76" s="73" t="str">
        <f t="shared" si="63"/>
        <v>Exclusive</v>
      </c>
      <c r="S76" s="111">
        <f t="shared" si="64"/>
        <v>7091.1846480000004</v>
      </c>
      <c r="T76" s="112">
        <f t="shared" si="65"/>
        <v>7091.1846480000004</v>
      </c>
      <c r="U76" s="97">
        <f t="shared" si="66"/>
        <v>7800.3031128000011</v>
      </c>
      <c r="V76" s="98">
        <f t="shared" si="67"/>
        <v>7800.3031128000011</v>
      </c>
      <c r="W76" s="55">
        <f>'SA Apr 2021'!BL54</f>
        <v>0</v>
      </c>
      <c r="X76" s="56" t="str">
        <f>'SA Apr 2021'!BM54</f>
        <v>n</v>
      </c>
      <c r="Y76" s="309"/>
      <c r="Z76" s="314"/>
      <c r="AA76" s="309"/>
      <c r="AB76" s="314"/>
      <c r="AC76" s="309"/>
      <c r="AD76" s="314"/>
      <c r="AE76" s="309"/>
      <c r="AF76" s="314"/>
      <c r="AG76" s="309"/>
      <c r="AH76" s="314"/>
      <c r="AI76" s="309"/>
      <c r="AJ76" s="314"/>
      <c r="AK76" s="309"/>
      <c r="AL76" s="314"/>
      <c r="AM76" s="309"/>
      <c r="AN76" s="314"/>
      <c r="AO76" s="309"/>
      <c r="AP76" s="314"/>
      <c r="AQ76" s="309"/>
      <c r="AR76" s="314"/>
    </row>
    <row r="77" spans="1:44" ht="14" x14ac:dyDescent="0.15">
      <c r="A77" s="70" t="str">
        <f>'SA Apr 2021'!K55</f>
        <v>ReAmped Energy</v>
      </c>
      <c r="B77" s="49" t="str">
        <f>'SA Apr 2021'!L55</f>
        <v>ReAmped Business</v>
      </c>
      <c r="C77" s="46">
        <f>IF('SA Apr 2021'!BP55=0,91*'SA Apr 2021'!M55/100,(91*'SA Apr 2021'!M55/100)+'SA Apr 2021'!BP55/4)</f>
        <v>78.960700000000003</v>
      </c>
      <c r="D77" s="46">
        <f>IF('SA Apr 2021'!O55="",$C$57*$C$58*'SA Apr 2021'!N55/100,IF($C$57*$C$58&gt;='SA Apr 2021'!P55,('SA Apr 2021'!P55*'SA Apr 2021'!N55/100),($C$57*$C$58*'SA Apr 2021'!N55/100)))</f>
        <v>1013.25</v>
      </c>
      <c r="E77" s="46">
        <f>IF(AND('SA Apr 2021'!P55&gt;0,'SA Apr 2021'!R55&gt;0),IF($C$57*$C$58&lt;'SA Apr 2021'!P55,0,IF($C$57*$C$58&lt;=('SA Apr 2021'!R55+'SA Apr 2021'!P55),(($C$57*$C$58-'SA Apr 2021'!P55)*'SA Apr 2021'!Q55/100),(('SA Apr 2021'!R55)*'SA Apr 2021'!Q55/100))),0)</f>
        <v>0</v>
      </c>
      <c r="F77" s="46">
        <f>IF(AND('SA Apr 2021'!Q39&gt;0,'SA Apr 2021'!S39&gt;0),IF($C$57*$C$58&lt;('SA Apr 2021'!R39+'SA Apr 2021'!P39),0,IF($C$57*$C$58&lt;=('SA Apr 2021'!T39+'SA Apr 2021'!R39+'SA Apr 2021'!P39),(($C$57*$C$58-('SA Apr 2021'!R39+'SA Apr 2021'!P39))*'SA Apr 2021'!S39/100),('SA Apr 2021'!T39*'SA Apr 2021'!S39/100))),0)</f>
        <v>0</v>
      </c>
      <c r="G77" s="50">
        <f>IF(AND('SA Apr 2021'!R55&gt;0,'SA Apr 2021'!T55&gt;0),IF(($C$57*$C$58&lt;'SA Apr 2021'!T55),(0),($C$57*$C$58-'SA Apr 2021'!T55)*'SA Apr 2021'!U55/100),IF(AND('SA Apr 2021'!R55&gt;0,'SA Apr 2021'!T55=""),IF(($C$57*$C$58&lt;'SA Apr 2021'!R55+'SA Apr 2021'!P55),(0),(($C$57*$C$58-('SA Apr 2021'!R55+'SA Apr 2021'!P55))*'SA Apr 2021'!S55/100)),IF(AND('SA Apr 2021'!P55&gt;0,'SA Apr 2021'!R55=""&gt;0),IF(($C$57*$C$58&lt;'SA Apr 2021'!P55),(0),($C$57*$C$58-'SA Apr 2021'!P55)*'SA Apr 2021'!Q55/100),0)))</f>
        <v>0</v>
      </c>
      <c r="H77" s="51">
        <f>($C$57*$C$59)*'SA Apr 2021'!W55/100</f>
        <v>291.75</v>
      </c>
      <c r="I77" s="52">
        <f t="shared" si="58"/>
        <v>1383.9607000000001</v>
      </c>
      <c r="J77" s="109">
        <f t="shared" si="59"/>
        <v>5220</v>
      </c>
      <c r="K77" s="109">
        <f t="shared" si="60"/>
        <v>5535.8428000000004</v>
      </c>
      <c r="L77" s="53">
        <f t="shared" si="61"/>
        <v>6089.4270800000013</v>
      </c>
      <c r="M77" s="54">
        <f>'SA Apr 2021'!BB55</f>
        <v>0</v>
      </c>
      <c r="N77" s="54">
        <f>'SA Apr 2021'!BC55</f>
        <v>0</v>
      </c>
      <c r="O77" s="54">
        <f>'SA Apr 2021'!BD55</f>
        <v>0</v>
      </c>
      <c r="P77" s="54">
        <f>'SA Apr 2021'!BE55</f>
        <v>0</v>
      </c>
      <c r="Q77" s="110" t="str">
        <f t="shared" si="62"/>
        <v>No discount</v>
      </c>
      <c r="R77" s="73" t="str">
        <f t="shared" si="63"/>
        <v>Exclusive</v>
      </c>
      <c r="S77" s="111">
        <f t="shared" si="64"/>
        <v>5535.8428000000004</v>
      </c>
      <c r="T77" s="112">
        <f t="shared" si="65"/>
        <v>5535.8428000000004</v>
      </c>
      <c r="U77" s="97">
        <f t="shared" si="66"/>
        <v>6089.4270800000013</v>
      </c>
      <c r="V77" s="98">
        <f t="shared" si="67"/>
        <v>6089.4270800000013</v>
      </c>
      <c r="W77" s="55">
        <f>'SA Apr 2021'!BL55</f>
        <v>0</v>
      </c>
      <c r="X77" s="56" t="str">
        <f>'SA Apr 2021'!BM55</f>
        <v>n</v>
      </c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</row>
    <row r="78" spans="1:44" ht="14" x14ac:dyDescent="0.15">
      <c r="A78" s="70" t="str">
        <f>'SA Apr 2021'!K56</f>
        <v>Covau</v>
      </c>
      <c r="B78" s="49" t="str">
        <f>'SA Apr 2021'!L56</f>
        <v>Freedom Plus</v>
      </c>
      <c r="C78" s="46">
        <f>IF('SA Apr 2021'!BP56=0,91*'SA Apr 2021'!M56/100,(91*'SA Apr 2021'!M56/100)+'SA Apr 2021'!BP56/4)</f>
        <v>77.349999999999994</v>
      </c>
      <c r="D78" s="46">
        <f>IF('SA Apr 2021'!O56="",$C$57*$C$58*'SA Apr 2021'!N56/100,IF($C$57*$C$58&gt;='SA Apr 2021'!P56,('SA Apr 2021'!P56*'SA Apr 2021'!N56/100),($C$57*$C$58*'SA Apr 2021'!N56/100)))</f>
        <v>1164.8</v>
      </c>
      <c r="E78" s="46">
        <f>IF(AND('SA Apr 2021'!P56&gt;0,'SA Apr 2021'!R56&gt;0),IF($C$57*$C$58&lt;'SA Apr 2021'!P56,0,IF($C$57*$C$58&lt;=('SA Apr 2021'!R56+'SA Apr 2021'!P56),(($C$57*$C$58-'SA Apr 2021'!P56)*'SA Apr 2021'!Q56/100),(('SA Apr 2021'!R56)*'SA Apr 2021'!Q56/100))),0)</f>
        <v>0</v>
      </c>
      <c r="F78" s="46">
        <f>IF(AND('SA Apr 2021'!Q40&gt;0,'SA Apr 2021'!S40&gt;0),IF($C$57*$C$58&lt;('SA Apr 2021'!R40+'SA Apr 2021'!P40),0,IF($C$57*$C$58&lt;=('SA Apr 2021'!T40+'SA Apr 2021'!R40+'SA Apr 2021'!P40),(($C$57*$C$58-('SA Apr 2021'!R40+'SA Apr 2021'!P40))*'SA Apr 2021'!S40/100),('SA Apr 2021'!T40*'SA Apr 2021'!S40/100))),0)</f>
        <v>0</v>
      </c>
      <c r="G78" s="50">
        <f>IF(AND('SA Apr 2021'!R56&gt;0,'SA Apr 2021'!T56&gt;0),IF(($C$57*$C$58&lt;'SA Apr 2021'!T56),(0),($C$57*$C$58-'SA Apr 2021'!T56)*'SA Apr 2021'!U56/100),IF(AND('SA Apr 2021'!R56&gt;0,'SA Apr 2021'!T56=""),IF(($C$57*$C$58&lt;'SA Apr 2021'!R56+'SA Apr 2021'!P56),(0),(($C$57*$C$58-('SA Apr 2021'!R56+'SA Apr 2021'!P56))*'SA Apr 2021'!S56/100)),IF(AND('SA Apr 2021'!P56&gt;0,'SA Apr 2021'!R56=""&gt;0),IF(($C$57*$C$58&lt;'SA Apr 2021'!P56),(0),($C$57*$C$58-'SA Apr 2021'!P56)*'SA Apr 2021'!Q56/100),0)))</f>
        <v>0</v>
      </c>
      <c r="H78" s="51">
        <f>($C$57*$C$59)*'SA Apr 2021'!W56/100</f>
        <v>318.75</v>
      </c>
      <c r="I78" s="52">
        <f t="shared" si="58"/>
        <v>1560.8999999999999</v>
      </c>
      <c r="J78" s="109">
        <f t="shared" si="59"/>
        <v>5934.2</v>
      </c>
      <c r="K78" s="109">
        <f t="shared" si="60"/>
        <v>6243.5999999999995</v>
      </c>
      <c r="L78" s="53">
        <f t="shared" si="61"/>
        <v>6867.96</v>
      </c>
      <c r="M78" s="54">
        <f>'SA Apr 2021'!BB56</f>
        <v>0</v>
      </c>
      <c r="N78" s="54">
        <f>'SA Apr 2021'!BC56</f>
        <v>5</v>
      </c>
      <c r="O78" s="54">
        <f>'SA Apr 2021'!BD56</f>
        <v>0</v>
      </c>
      <c r="P78" s="54">
        <f>'SA Apr 2021'!BE56</f>
        <v>0</v>
      </c>
      <c r="Q78" s="110" t="str">
        <f t="shared" si="62"/>
        <v>Guaranteed off usage</v>
      </c>
      <c r="R78" s="73" t="str">
        <f t="shared" si="63"/>
        <v>Exclusive</v>
      </c>
      <c r="S78" s="111">
        <f t="shared" si="64"/>
        <v>5946.8899999999994</v>
      </c>
      <c r="T78" s="112">
        <f t="shared" si="65"/>
        <v>5946.8899999999994</v>
      </c>
      <c r="U78" s="97">
        <f t="shared" si="66"/>
        <v>6541.5789999999997</v>
      </c>
      <c r="V78" s="98">
        <f t="shared" si="67"/>
        <v>6541.5789999999997</v>
      </c>
      <c r="W78" s="55">
        <f>'SA Apr 2021'!BL56</f>
        <v>0</v>
      </c>
      <c r="X78" s="56" t="str">
        <f>'SA Apr 2021'!BM56</f>
        <v>n</v>
      </c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</row>
    <row r="79" spans="1:44" ht="15" thickBot="1" x14ac:dyDescent="0.2">
      <c r="A79" s="71" t="str">
        <f>'SA Apr 2021'!K57</f>
        <v>1st Energy</v>
      </c>
      <c r="B79" s="57" t="str">
        <f>'SA Apr 2021'!L57</f>
        <v>1st Saver Plus</v>
      </c>
      <c r="C79" s="58">
        <f>IF('SA Apr 2021'!BP57=0,91*'SA Apr 2021'!M57/100,(91*'SA Apr 2021'!M57/100)+'SA Apr 2021'!BP57/4)</f>
        <v>81.626999999999995</v>
      </c>
      <c r="D79" s="58">
        <f>IF('SA Apr 2021'!O57="",$C$57*$C$58*'SA Apr 2021'!N57/100,IF($C$57*$C$58&gt;='SA Apr 2021'!P57,('SA Apr 2021'!P57*'SA Apr 2021'!N57/100),($C$57*$C$58*'SA Apr 2021'!N57/100)))</f>
        <v>1417.5</v>
      </c>
      <c r="E79" s="58">
        <f>IF(AND('SA Apr 2021'!P57&gt;0,'SA Apr 2021'!R57&gt;0),IF($C$57*$C$58&lt;'SA Apr 2021'!P57,0,IF($C$57*$C$58&lt;=('SA Apr 2021'!R57+'SA Apr 2021'!P57),(($C$57*$C$58-'SA Apr 2021'!P57)*'SA Apr 2021'!Q57/100),(('SA Apr 2021'!R57)*'SA Apr 2021'!Q57/100))),0)</f>
        <v>0</v>
      </c>
      <c r="F79" s="58">
        <f>IF(AND('SA Apr 2021'!Q41&gt;0,'SA Apr 2021'!S41&gt;0),IF($C$57*$C$58&lt;('SA Apr 2021'!R41+'SA Apr 2021'!P41),0,IF($C$57*$C$58&lt;=('SA Apr 2021'!T41+'SA Apr 2021'!R41+'SA Apr 2021'!P41),(($C$57*$C$58-('SA Apr 2021'!R41+'SA Apr 2021'!P41))*'SA Apr 2021'!S41/100),('SA Apr 2021'!T41*'SA Apr 2021'!S41/100))),0)</f>
        <v>0</v>
      </c>
      <c r="G79" s="59">
        <f>IF(AND('SA Apr 2021'!R57&gt;0,'SA Apr 2021'!T57&gt;0),IF(($C$57*$C$58&lt;'SA Apr 2021'!T57),(0),($C$57*$C$58-'SA Apr 2021'!T57)*'SA Apr 2021'!U57/100),IF(AND('SA Apr 2021'!R57&gt;0,'SA Apr 2021'!T57=""),IF(($C$57*$C$58&lt;'SA Apr 2021'!R57+'SA Apr 2021'!P57),(0),(($C$57*$C$58-('SA Apr 2021'!R57+'SA Apr 2021'!P57))*'SA Apr 2021'!S57/100)),IF(AND('SA Apr 2021'!P57&gt;0,'SA Apr 2021'!R57=""&gt;0),IF(($C$57*$C$58&lt;'SA Apr 2021'!P57),(0),($C$57*$C$58-'SA Apr 2021'!P57)*'SA Apr 2021'!Q57/100),0)))</f>
        <v>0</v>
      </c>
      <c r="H79" s="60">
        <f>($C$57*$C$59)*'SA Apr 2021'!W57/100</f>
        <v>381.75</v>
      </c>
      <c r="I79" s="61">
        <f t="shared" si="58"/>
        <v>1880.877</v>
      </c>
      <c r="J79" s="116">
        <f t="shared" si="59"/>
        <v>7197</v>
      </c>
      <c r="K79" s="116">
        <f t="shared" si="60"/>
        <v>7523.5079999999998</v>
      </c>
      <c r="L79" s="62">
        <f t="shared" si="61"/>
        <v>8275.8588</v>
      </c>
      <c r="M79" s="63">
        <f>'SA Apr 2021'!BB57</f>
        <v>4</v>
      </c>
      <c r="N79" s="63">
        <f>'SA Apr 2021'!BC57</f>
        <v>0</v>
      </c>
      <c r="O79" s="63">
        <f>'SA Apr 2021'!BD57</f>
        <v>10</v>
      </c>
      <c r="P79" s="63">
        <f>'SA Apr 2021'!BE57</f>
        <v>0</v>
      </c>
      <c r="Q79" s="115" t="str">
        <f t="shared" si="62"/>
        <v>Guaranteed off bill</v>
      </c>
      <c r="R79" s="72" t="str">
        <f t="shared" si="63"/>
        <v>Exclusive</v>
      </c>
      <c r="S79" s="113">
        <f t="shared" si="64"/>
        <v>7222.5676800000001</v>
      </c>
      <c r="T79" s="114">
        <f>S79-(S79*O79/100)</f>
        <v>6500.3109119999999</v>
      </c>
      <c r="U79" s="99">
        <f t="shared" si="66"/>
        <v>7944.8244480000012</v>
      </c>
      <c r="V79" s="100">
        <f t="shared" si="67"/>
        <v>7150.3420032000004</v>
      </c>
      <c r="W79" s="64">
        <f>'SA Apr 2021'!BL57</f>
        <v>0</v>
      </c>
      <c r="X79" s="65" t="str">
        <f>'SA Apr 2021'!BM57</f>
        <v>n</v>
      </c>
      <c r="Y79" s="309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  <c r="AJ79" s="309"/>
      <c r="AK79" s="309"/>
      <c r="AL79" s="309"/>
      <c r="AM79" s="309"/>
      <c r="AN79" s="309"/>
      <c r="AO79" s="309"/>
      <c r="AP79" s="309"/>
      <c r="AQ79" s="309"/>
      <c r="AR79" s="309"/>
    </row>
    <row r="80" spans="1:44" ht="14" x14ac:dyDescent="0.15">
      <c r="A80" s="309"/>
      <c r="B80" s="309"/>
      <c r="C80" s="309"/>
      <c r="D80" s="309"/>
      <c r="E80" s="309"/>
      <c r="F80" s="309"/>
      <c r="G80" s="309"/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  <c r="AR80" s="309"/>
    </row>
    <row r="81" spans="1:44" ht="14" x14ac:dyDescent="0.15">
      <c r="A81" s="309"/>
      <c r="B81" s="309"/>
      <c r="C81" s="309"/>
      <c r="D81" s="309"/>
      <c r="E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  <c r="AJ81" s="309"/>
      <c r="AK81" s="309"/>
      <c r="AL81" s="309"/>
      <c r="AM81" s="309"/>
      <c r="AN81" s="309"/>
      <c r="AO81" s="309"/>
      <c r="AP81" s="309"/>
      <c r="AQ81" s="309"/>
      <c r="AR81" s="309"/>
    </row>
    <row r="82" spans="1:44" ht="14" x14ac:dyDescent="0.15">
      <c r="A82" s="309"/>
      <c r="B82" s="309"/>
      <c r="C82" s="309"/>
      <c r="D82" s="309"/>
      <c r="E82" s="309"/>
      <c r="F82" s="309"/>
      <c r="G82" s="309"/>
      <c r="H82" s="309"/>
      <c r="I82" s="309"/>
      <c r="J82" s="309"/>
      <c r="K82" s="309"/>
      <c r="L82" s="309"/>
      <c r="M82" s="309"/>
      <c r="N82" s="309"/>
      <c r="O82" s="309"/>
      <c r="P82" s="309"/>
      <c r="Q82" s="309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  <c r="AD82" s="309"/>
      <c r="AE82" s="309"/>
      <c r="AF82" s="309"/>
      <c r="AG82" s="309"/>
      <c r="AH82" s="309"/>
      <c r="AI82" s="309"/>
      <c r="AJ82" s="309"/>
      <c r="AK82" s="309"/>
      <c r="AL82" s="309"/>
      <c r="AM82" s="309"/>
      <c r="AN82" s="309"/>
      <c r="AO82" s="309"/>
      <c r="AP82" s="309"/>
      <c r="AQ82" s="309"/>
      <c r="AR82" s="309"/>
    </row>
    <row r="83" spans="1:44" ht="14" x14ac:dyDescent="0.15">
      <c r="A83" s="309"/>
      <c r="B83" s="309"/>
      <c r="C83" s="309"/>
      <c r="D83" s="309"/>
      <c r="E83" s="309"/>
      <c r="F83" s="309"/>
      <c r="G83" s="309"/>
      <c r="H83" s="309"/>
      <c r="I83" s="309"/>
      <c r="J83" s="309"/>
      <c r="K83" s="309"/>
      <c r="L83" s="309"/>
      <c r="M83" s="309"/>
      <c r="N83" s="309"/>
      <c r="O83" s="309"/>
      <c r="P83" s="309"/>
      <c r="Q83" s="309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  <c r="AD83" s="309"/>
      <c r="AE83" s="309"/>
      <c r="AF83" s="309"/>
      <c r="AG83" s="309"/>
      <c r="AH83" s="309"/>
      <c r="AI83" s="309"/>
      <c r="AJ83" s="309"/>
      <c r="AK83" s="309"/>
      <c r="AL83" s="309"/>
      <c r="AM83" s="309"/>
      <c r="AN83" s="309"/>
      <c r="AO83" s="309"/>
      <c r="AP83" s="309"/>
      <c r="AQ83" s="309"/>
      <c r="AR83" s="309"/>
    </row>
    <row r="84" spans="1:44" ht="14" x14ac:dyDescent="0.15">
      <c r="A84" s="309"/>
      <c r="B84" s="309"/>
      <c r="C84" s="309"/>
      <c r="D84" s="309"/>
      <c r="E84" s="309"/>
      <c r="F84" s="309"/>
      <c r="G84" s="309"/>
      <c r="H84" s="309"/>
      <c r="I84" s="309"/>
      <c r="J84" s="309"/>
      <c r="K84" s="309"/>
      <c r="L84" s="309"/>
      <c r="M84" s="309"/>
      <c r="N84" s="309"/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  <c r="AJ84" s="309"/>
      <c r="AK84" s="309"/>
      <c r="AL84" s="309"/>
      <c r="AM84" s="309"/>
      <c r="AN84" s="309"/>
      <c r="AO84" s="309"/>
      <c r="AP84" s="309"/>
      <c r="AQ84" s="309"/>
      <c r="AR84" s="309"/>
    </row>
    <row r="85" spans="1:44" ht="14" x14ac:dyDescent="0.15">
      <c r="A85" s="309"/>
      <c r="B85" s="309"/>
      <c r="C85" s="309"/>
      <c r="D85" s="309"/>
      <c r="E85" s="309"/>
      <c r="F85" s="309"/>
      <c r="G85" s="309"/>
      <c r="H85" s="309"/>
      <c r="I85" s="309"/>
      <c r="J85" s="309"/>
      <c r="K85" s="309"/>
      <c r="L85" s="309"/>
      <c r="M85" s="309"/>
      <c r="N85" s="309"/>
      <c r="O85" s="309"/>
      <c r="P85" s="309"/>
      <c r="Q85" s="309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  <c r="AJ85" s="309"/>
      <c r="AK85" s="309"/>
      <c r="AL85" s="309"/>
      <c r="AM85" s="309"/>
      <c r="AN85" s="309"/>
      <c r="AO85" s="309"/>
      <c r="AP85" s="309"/>
      <c r="AQ85" s="309"/>
      <c r="AR85" s="309"/>
    </row>
    <row r="86" spans="1:44" ht="14" x14ac:dyDescent="0.15">
      <c r="A86" s="309"/>
      <c r="B86" s="309"/>
      <c r="C86" s="309"/>
      <c r="D86" s="309"/>
      <c r="E86" s="309"/>
      <c r="F86" s="309"/>
      <c r="G86" s="309"/>
      <c r="H86" s="309"/>
      <c r="I86" s="309"/>
      <c r="J86" s="309"/>
      <c r="K86" s="309"/>
      <c r="L86" s="309"/>
      <c r="M86" s="309"/>
      <c r="N86" s="309"/>
      <c r="O86" s="309"/>
      <c r="P86" s="309"/>
      <c r="Q86" s="309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  <c r="AD86" s="309"/>
      <c r="AE86" s="309"/>
      <c r="AF86" s="309"/>
      <c r="AG86" s="309"/>
      <c r="AH86" s="309"/>
      <c r="AI86" s="309"/>
      <c r="AJ86" s="309"/>
      <c r="AK86" s="309"/>
      <c r="AL86" s="309"/>
      <c r="AM86" s="309"/>
      <c r="AN86" s="309"/>
      <c r="AO86" s="309"/>
      <c r="AP86" s="309"/>
      <c r="AQ86" s="309"/>
      <c r="AR86" s="309"/>
    </row>
    <row r="87" spans="1:44" ht="14" x14ac:dyDescent="0.15">
      <c r="A87" s="309"/>
      <c r="B87" s="309"/>
      <c r="C87" s="309"/>
      <c r="D87" s="309"/>
      <c r="E87" s="309"/>
      <c r="F87" s="309"/>
      <c r="G87" s="309"/>
      <c r="H87" s="309"/>
      <c r="I87" s="309"/>
      <c r="J87" s="309"/>
      <c r="K87" s="309"/>
      <c r="L87" s="309"/>
      <c r="M87" s="309"/>
      <c r="N87" s="309"/>
      <c r="O87" s="309"/>
      <c r="P87" s="309"/>
      <c r="Q87" s="309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  <c r="AD87" s="309"/>
      <c r="AE87" s="309"/>
      <c r="AF87" s="309"/>
      <c r="AG87" s="309"/>
      <c r="AH87" s="309"/>
      <c r="AI87" s="309"/>
      <c r="AJ87" s="309"/>
      <c r="AK87" s="309"/>
      <c r="AL87" s="309"/>
      <c r="AM87" s="309"/>
      <c r="AN87" s="309"/>
      <c r="AO87" s="309"/>
      <c r="AP87" s="309"/>
      <c r="AQ87" s="309"/>
      <c r="AR87" s="309"/>
    </row>
    <row r="88" spans="1:44" ht="14" x14ac:dyDescent="0.15">
      <c r="A88" s="309"/>
      <c r="B88" s="309"/>
      <c r="C88" s="309"/>
      <c r="D88" s="309"/>
      <c r="E88" s="309"/>
      <c r="F88" s="309"/>
      <c r="G88" s="309"/>
      <c r="H88" s="309"/>
      <c r="I88" s="309"/>
      <c r="J88" s="309"/>
      <c r="K88" s="309"/>
      <c r="L88" s="309"/>
      <c r="M88" s="309"/>
      <c r="N88" s="309"/>
      <c r="O88" s="309"/>
      <c r="P88" s="309"/>
      <c r="Q88" s="309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  <c r="AD88" s="309"/>
      <c r="AE88" s="309"/>
      <c r="AF88" s="309"/>
      <c r="AG88" s="309"/>
      <c r="AH88" s="309"/>
      <c r="AI88" s="309"/>
      <c r="AJ88" s="309"/>
      <c r="AK88" s="309"/>
      <c r="AL88" s="309"/>
      <c r="AM88" s="309"/>
      <c r="AN88" s="309"/>
      <c r="AO88" s="309"/>
      <c r="AP88" s="309"/>
      <c r="AQ88" s="309"/>
      <c r="AR88" s="309"/>
    </row>
    <row r="89" spans="1:44" ht="14" x14ac:dyDescent="0.15">
      <c r="A89" s="309"/>
      <c r="B89" s="309"/>
      <c r="C89" s="309"/>
      <c r="D89" s="309"/>
      <c r="E89" s="309"/>
      <c r="F89" s="309"/>
      <c r="G89" s="309"/>
      <c r="H89" s="309"/>
      <c r="I89" s="309"/>
      <c r="J89" s="309"/>
      <c r="K89" s="309"/>
      <c r="L89" s="309"/>
      <c r="M89" s="309"/>
      <c r="N89" s="309"/>
      <c r="O89" s="309"/>
      <c r="P89" s="309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  <c r="AD89" s="309"/>
      <c r="AE89" s="309"/>
      <c r="AF89" s="309"/>
      <c r="AG89" s="309"/>
      <c r="AH89" s="309"/>
      <c r="AI89" s="309"/>
      <c r="AJ89" s="309"/>
      <c r="AK89" s="309"/>
      <c r="AL89" s="309"/>
      <c r="AM89" s="309"/>
      <c r="AN89" s="309"/>
      <c r="AO89" s="309"/>
      <c r="AP89" s="309"/>
      <c r="AQ89" s="309"/>
      <c r="AR89" s="309"/>
    </row>
    <row r="90" spans="1:44" ht="14" x14ac:dyDescent="0.15">
      <c r="A90" s="309"/>
      <c r="B90" s="309"/>
      <c r="C90" s="309"/>
      <c r="D90" s="309"/>
      <c r="E90" s="309"/>
      <c r="F90" s="309"/>
      <c r="G90" s="309"/>
      <c r="H90" s="309"/>
      <c r="I90" s="309"/>
      <c r="J90" s="309"/>
      <c r="K90" s="309"/>
      <c r="L90" s="309"/>
      <c r="M90" s="309"/>
      <c r="N90" s="309"/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09"/>
    </row>
    <row r="91" spans="1:44" ht="14" x14ac:dyDescent="0.15">
      <c r="A91" s="309"/>
      <c r="B91" s="309"/>
      <c r="C91" s="309"/>
      <c r="D91" s="309"/>
      <c r="E91" s="309"/>
      <c r="F91" s="309"/>
      <c r="G91" s="309"/>
      <c r="H91" s="309"/>
      <c r="I91" s="309"/>
      <c r="J91" s="309"/>
      <c r="K91" s="309"/>
      <c r="L91" s="309"/>
      <c r="M91" s="309"/>
      <c r="N91" s="309"/>
      <c r="O91" s="309"/>
      <c r="P91" s="309"/>
      <c r="Q91" s="309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  <c r="AD91" s="309"/>
      <c r="AE91" s="309"/>
      <c r="AF91" s="309"/>
      <c r="AG91" s="309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  <c r="AR91" s="309"/>
    </row>
    <row r="92" spans="1:44" ht="14" x14ac:dyDescent="0.15">
      <c r="A92" s="309"/>
      <c r="B92" s="309"/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309"/>
      <c r="Q92" s="309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  <c r="AO92" s="309"/>
      <c r="AP92" s="309"/>
      <c r="AQ92" s="309"/>
      <c r="AR92" s="309"/>
    </row>
    <row r="93" spans="1:44" ht="14" x14ac:dyDescent="0.15">
      <c r="A93" s="309"/>
      <c r="B93" s="309"/>
      <c r="C93" s="309"/>
      <c r="D93" s="309"/>
      <c r="E93" s="309"/>
      <c r="F93" s="309"/>
      <c r="G93" s="309"/>
      <c r="H93" s="309"/>
      <c r="I93" s="309"/>
      <c r="J93" s="309"/>
      <c r="K93" s="309"/>
      <c r="L93" s="309"/>
      <c r="M93" s="309"/>
      <c r="N93" s="309"/>
      <c r="O93" s="309"/>
      <c r="P93" s="309"/>
      <c r="Q93" s="309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  <c r="AD93" s="309"/>
      <c r="AE93" s="309"/>
      <c r="AF93" s="309"/>
      <c r="AG93" s="309"/>
      <c r="AH93" s="309"/>
      <c r="AI93" s="309"/>
      <c r="AJ93" s="309"/>
      <c r="AK93" s="309"/>
      <c r="AL93" s="309"/>
      <c r="AM93" s="309"/>
      <c r="AN93" s="309"/>
      <c r="AO93" s="309"/>
      <c r="AP93" s="309"/>
      <c r="AQ93" s="309"/>
      <c r="AR93" s="309"/>
    </row>
    <row r="94" spans="1:44" ht="14" x14ac:dyDescent="0.15">
      <c r="A94" s="309"/>
      <c r="B94" s="309"/>
      <c r="C94" s="309"/>
      <c r="D94" s="309"/>
      <c r="E94" s="309"/>
      <c r="F94" s="309"/>
      <c r="G94" s="309"/>
      <c r="H94" s="309"/>
      <c r="I94" s="309"/>
      <c r="J94" s="309"/>
      <c r="K94" s="309"/>
      <c r="L94" s="309"/>
      <c r="M94" s="309"/>
      <c r="N94" s="309"/>
      <c r="O94" s="309"/>
      <c r="P94" s="309"/>
      <c r="Q94" s="309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  <c r="AD94" s="309"/>
      <c r="AE94" s="309"/>
      <c r="AF94" s="309"/>
      <c r="AG94" s="309"/>
      <c r="AH94" s="309"/>
      <c r="AI94" s="309"/>
      <c r="AJ94" s="309"/>
      <c r="AK94" s="309"/>
      <c r="AL94" s="309"/>
      <c r="AM94" s="309"/>
      <c r="AN94" s="309"/>
      <c r="AO94" s="309"/>
      <c r="AP94" s="309"/>
      <c r="AQ94" s="309"/>
      <c r="AR94" s="309"/>
    </row>
    <row r="95" spans="1:44" ht="14" x14ac:dyDescent="0.15">
      <c r="A95" s="309"/>
      <c r="B95" s="309"/>
      <c r="C95" s="309"/>
      <c r="D95" s="309"/>
      <c r="E95" s="309"/>
      <c r="F95" s="309"/>
      <c r="G95" s="309"/>
      <c r="H95" s="309"/>
      <c r="I95" s="309"/>
      <c r="J95" s="309"/>
      <c r="K95" s="309"/>
      <c r="L95" s="309"/>
      <c r="M95" s="309"/>
      <c r="N95" s="309"/>
      <c r="O95" s="309"/>
      <c r="P95" s="309"/>
      <c r="Q95" s="309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09"/>
      <c r="AN95" s="309"/>
      <c r="AO95" s="309"/>
      <c r="AP95" s="309"/>
      <c r="AQ95" s="309"/>
      <c r="AR95" s="309"/>
    </row>
    <row r="96" spans="1:44" ht="14" x14ac:dyDescent="0.15">
      <c r="A96" s="309"/>
      <c r="B96" s="309"/>
      <c r="C96" s="309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09"/>
      <c r="O96" s="309"/>
      <c r="P96" s="309"/>
      <c r="Q96" s="309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  <c r="AD96" s="309"/>
      <c r="AE96" s="309"/>
      <c r="AF96" s="309"/>
      <c r="AG96" s="309"/>
      <c r="AH96" s="309"/>
      <c r="AI96" s="309"/>
      <c r="AJ96" s="309"/>
      <c r="AK96" s="309"/>
      <c r="AL96" s="309"/>
      <c r="AM96" s="309"/>
      <c r="AN96" s="309"/>
      <c r="AO96" s="309"/>
      <c r="AP96" s="309"/>
      <c r="AQ96" s="309"/>
      <c r="AR96" s="309"/>
    </row>
    <row r="97" spans="1:44" ht="14" x14ac:dyDescent="0.15">
      <c r="A97" s="309"/>
      <c r="B97" s="309"/>
      <c r="C97" s="309"/>
      <c r="D97" s="309"/>
      <c r="E97" s="309"/>
      <c r="F97" s="309"/>
      <c r="G97" s="309"/>
      <c r="H97" s="309"/>
      <c r="I97" s="309"/>
      <c r="J97" s="309"/>
      <c r="K97" s="309"/>
      <c r="L97" s="309"/>
      <c r="M97" s="309"/>
      <c r="N97" s="309"/>
      <c r="O97" s="309"/>
      <c r="P97" s="309"/>
      <c r="Q97" s="309"/>
      <c r="R97" s="309"/>
      <c r="S97" s="309"/>
      <c r="T97" s="309"/>
      <c r="U97" s="309"/>
      <c r="V97" s="309"/>
      <c r="W97" s="309"/>
      <c r="X97" s="309"/>
      <c r="Y97" s="309"/>
      <c r="Z97" s="309"/>
      <c r="AA97" s="309"/>
      <c r="AB97" s="309"/>
      <c r="AC97" s="309"/>
      <c r="AD97" s="309"/>
      <c r="AE97" s="309"/>
      <c r="AF97" s="309"/>
      <c r="AG97" s="309"/>
      <c r="AH97" s="309"/>
      <c r="AI97" s="309"/>
      <c r="AJ97" s="309"/>
      <c r="AK97" s="309"/>
      <c r="AL97" s="309"/>
      <c r="AM97" s="309"/>
      <c r="AN97" s="309"/>
      <c r="AO97" s="309"/>
      <c r="AP97" s="309"/>
      <c r="AQ97" s="309"/>
      <c r="AR97" s="309"/>
    </row>
    <row r="98" spans="1:44" ht="14" x14ac:dyDescent="0.15">
      <c r="A98" s="309"/>
      <c r="B98" s="309"/>
      <c r="C98" s="309"/>
      <c r="D98" s="309"/>
      <c r="E98" s="309"/>
      <c r="F98" s="309"/>
      <c r="G98" s="309"/>
      <c r="H98" s="309"/>
      <c r="I98" s="309"/>
      <c r="J98" s="309"/>
      <c r="K98" s="309"/>
      <c r="L98" s="309"/>
      <c r="M98" s="309"/>
      <c r="N98" s="309"/>
      <c r="O98" s="309"/>
      <c r="P98" s="309"/>
      <c r="Q98" s="309"/>
      <c r="R98" s="309"/>
      <c r="S98" s="309"/>
      <c r="T98" s="309"/>
      <c r="U98" s="309"/>
      <c r="V98" s="309"/>
      <c r="W98" s="309"/>
      <c r="X98" s="309"/>
      <c r="Y98" s="309"/>
      <c r="Z98" s="309"/>
      <c r="AA98" s="309"/>
      <c r="AB98" s="309"/>
      <c r="AC98" s="309"/>
      <c r="AD98" s="309"/>
      <c r="AE98" s="309"/>
      <c r="AF98" s="309"/>
      <c r="AG98" s="309"/>
      <c r="AH98" s="309"/>
      <c r="AI98" s="309"/>
      <c r="AJ98" s="309"/>
      <c r="AK98" s="309"/>
      <c r="AL98" s="309"/>
      <c r="AM98" s="309"/>
      <c r="AN98" s="309"/>
      <c r="AO98" s="309"/>
      <c r="AP98" s="309"/>
      <c r="AQ98" s="309"/>
      <c r="AR98" s="309"/>
    </row>
    <row r="99" spans="1:44" ht="14" x14ac:dyDescent="0.15">
      <c r="A99" s="309"/>
      <c r="B99" s="309"/>
      <c r="C99" s="309"/>
      <c r="D99" s="309"/>
      <c r="E99" s="309"/>
      <c r="F99" s="309"/>
      <c r="G99" s="309"/>
      <c r="H99" s="309"/>
      <c r="I99" s="309"/>
      <c r="J99" s="309"/>
      <c r="K99" s="309"/>
      <c r="L99" s="309"/>
      <c r="M99" s="309"/>
      <c r="N99" s="309"/>
      <c r="O99" s="309"/>
      <c r="P99" s="309"/>
      <c r="Q99" s="309"/>
      <c r="R99" s="309"/>
      <c r="S99" s="309"/>
      <c r="T99" s="309"/>
      <c r="U99" s="309"/>
      <c r="V99" s="309"/>
      <c r="W99" s="309"/>
      <c r="X99" s="309"/>
      <c r="Y99" s="309"/>
      <c r="Z99" s="309"/>
      <c r="AA99" s="309"/>
      <c r="AB99" s="309"/>
      <c r="AC99" s="309"/>
      <c r="AD99" s="309"/>
      <c r="AE99" s="309"/>
      <c r="AF99" s="309"/>
      <c r="AG99" s="309"/>
      <c r="AH99" s="309"/>
      <c r="AI99" s="309"/>
      <c r="AJ99" s="309"/>
      <c r="AK99" s="309"/>
      <c r="AL99" s="309"/>
      <c r="AM99" s="309"/>
      <c r="AN99" s="309"/>
      <c r="AO99" s="309"/>
      <c r="AP99" s="309"/>
      <c r="AQ99" s="309"/>
      <c r="AR99" s="309"/>
    </row>
    <row r="100" spans="1:44" ht="14" x14ac:dyDescent="0.15">
      <c r="A100" s="309"/>
      <c r="B100" s="309"/>
      <c r="C100" s="309"/>
      <c r="D100" s="309"/>
      <c r="E100" s="309"/>
      <c r="F100" s="309"/>
      <c r="G100" s="309"/>
      <c r="H100" s="309"/>
      <c r="I100" s="309"/>
      <c r="J100" s="309"/>
      <c r="K100" s="309"/>
      <c r="L100" s="309"/>
      <c r="M100" s="309"/>
      <c r="N100" s="309"/>
      <c r="O100" s="309"/>
      <c r="P100" s="309"/>
      <c r="Q100" s="309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09"/>
      <c r="AK100" s="309"/>
      <c r="AL100" s="309"/>
      <c r="AM100" s="309"/>
      <c r="AN100" s="309"/>
      <c r="AO100" s="309"/>
      <c r="AP100" s="309"/>
      <c r="AQ100" s="309"/>
      <c r="AR100" s="309"/>
    </row>
  </sheetData>
  <sheetProtection algorithmName="SHA-512" hashValue="TgtMxiJCjyqiWrMgvA9hroTMMVVX1ClycxsnjelJxTXlpdk0Z4YBKWExhCXqzuL1awSYoc8q7+ammUbGGHdoAw==" saltValue="BOSjZ+sj9AVDoTWraHzbTQ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5" max="16383" man="1" pt="1"/>
  </row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FCDA7-6FFD-434C-8F5A-C570D3245367}">
  <sheetPr codeName="Sheet19">
    <tabColor theme="7" tint="0.59999389629810485"/>
  </sheetPr>
  <dimension ref="A1:BA76"/>
  <sheetViews>
    <sheetView zoomScaleNormal="100" zoomScalePageLayoutView="125" workbookViewId="0">
      <selection activeCell="D70" sqref="D70"/>
    </sheetView>
  </sheetViews>
  <sheetFormatPr baseColWidth="10" defaultRowHeight="14" x14ac:dyDescent="0.15"/>
  <cols>
    <col min="1" max="1" width="20.33203125" style="290" customWidth="1"/>
    <col min="2" max="2" width="23.1640625" style="290" bestFit="1" customWidth="1"/>
    <col min="3" max="9" width="12.1640625" style="290" customWidth="1"/>
    <col min="10" max="11" width="12.1640625" style="290" hidden="1" customWidth="1"/>
    <col min="12" max="16" width="12.1640625" style="290" customWidth="1"/>
    <col min="17" max="20" width="12.1640625" style="290" hidden="1" customWidth="1"/>
    <col min="21" max="24" width="12.1640625" style="290" customWidth="1"/>
    <col min="25" max="53" width="7.5" style="290" customWidth="1"/>
    <col min="54" max="16384" width="10.83203125" style="290"/>
  </cols>
  <sheetData>
    <row r="1" spans="1:53" x14ac:dyDescent="0.15">
      <c r="A1" s="290" t="s">
        <v>31</v>
      </c>
    </row>
    <row r="2" spans="1:53" x14ac:dyDescent="0.15">
      <c r="A2" s="291" t="s">
        <v>236</v>
      </c>
    </row>
    <row r="3" spans="1:53" ht="15" thickBot="1" x14ac:dyDescent="0.2">
      <c r="G3" s="292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295"/>
      <c r="Z7" s="295"/>
      <c r="AA7" s="295"/>
      <c r="AB7" s="295"/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</row>
    <row r="8" spans="1:53" x14ac:dyDescent="0.15">
      <c r="A8" s="70" t="str">
        <f>'SA Oct 2020'!K2</f>
        <v>AGL</v>
      </c>
      <c r="B8" s="49" t="str">
        <f>'SA Oct 2020'!L2</f>
        <v>Business Essentials</v>
      </c>
      <c r="C8" s="46">
        <f>IF('SA Oct 2020'!BP2=0,91*'SA Oct 2020'!M2/100,(91*'SA Oct 2020'!M2/100)+'SA Oct 2020'!BP2/4)</f>
        <v>68.845636363636345</v>
      </c>
      <c r="D8" s="46">
        <f>IF('SA Oct 2020'!O2="",$C$5*'SA Oct 2020'!N2/100,IF($C$5&gt;='SA Oct 2020'!P2,('SA Oct 2020'!P2*'SA Oct 2020'!N2/100),($C$5*'SA Oct 2020'!N2/100)))</f>
        <v>1535</v>
      </c>
      <c r="E8" s="46">
        <f>IF(AND('SA Oct 2020'!P2&gt;0,'SA Oct 2020'!R2&gt;0),IF($C$5&lt;'SA Oct 2020'!P2,0,IF($C$5&lt;=('SA Oct 2020'!R2+'SA Oct 2020'!P2),(($C$5-'SA Oct 2020'!P2)*'SA Oct 2020'!Q2/100),(('SA Oct 2020'!R2)*'SA Oct 2020'!Q2/100))),0)</f>
        <v>0</v>
      </c>
      <c r="F8" s="46">
        <f>IF(AND('SA Oct 2020'!Q2&gt;0,'SA Oct 2020'!S2&gt;0),IF($C$5&lt;('SA Oct 2020'!R2+'SA Oct 2020'!P2),0,IF($C$5&lt;=('SA Oct 2020'!T2+'SA Oct 2020'!R2+'SA Oct 2020'!P2),(($C$5-('SA Oct 2020'!R2+'SA Oct 2020'!P2))*'SA Oct 2020'!S2/100),('SA Oct 2020'!T2*'SA Oct 2020'!S2/100))),0)</f>
        <v>0</v>
      </c>
      <c r="G8" s="50">
        <v>0</v>
      </c>
      <c r="H8" s="46">
        <f>IF(AND('SA Oct 2020'!R2&gt;0,'SA Oct 2020'!T2&gt;0),IF(($C$5&lt;'SA Oct 2020'!T2),(0),($C$5-'SA Oct 2020'!T2)*'SA Oct 2020'!U2/100),IF(AND('SA Oct 2020'!R2&gt;0,'SA Oct 2020'!T2=""),IF(($C$5&lt;'SA Oct 2020'!R2+'SA Oct 2020'!P2),(0),(($C$5-('SA Oct 2020'!R2+'SA Oct 2020'!P2))*'SA Oct 2020'!S2/100)),IF(AND('SA Oct 2020'!P2&gt;0,'SA Oct 2020'!R2=""&gt;0),IF(($C$5&lt;'SA Oct 2020'!P2),(0),($C$5-'SA Oct 2020'!P2)*'SA Oct 2020'!Q2/100),0)))</f>
        <v>0</v>
      </c>
      <c r="I8" s="52">
        <f>SUM(C8:H8)</f>
        <v>1603.8456363636365</v>
      </c>
      <c r="J8" s="109">
        <f>(I8-C8)*4</f>
        <v>6140</v>
      </c>
      <c r="K8" s="109">
        <f t="shared" ref="K8:K24" si="0">I8*4</f>
        <v>6415.3825454545458</v>
      </c>
      <c r="L8" s="53">
        <f>K8*1.1</f>
        <v>7056.9208000000008</v>
      </c>
      <c r="M8" s="54">
        <f>'SA Oct 2020'!BB2</f>
        <v>0</v>
      </c>
      <c r="N8" s="54">
        <f>'SA Oct 2020'!BC2</f>
        <v>0</v>
      </c>
      <c r="O8" s="54">
        <f>'SA Oct 2020'!BD2</f>
        <v>0</v>
      </c>
      <c r="P8" s="54">
        <f>'SA Oct 2020'!BE2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4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6415.3825454545458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6415.3825454545458</v>
      </c>
      <c r="U8" s="97">
        <f>S8*1.1</f>
        <v>7056.9208000000008</v>
      </c>
      <c r="V8" s="98">
        <f>T8*1.1</f>
        <v>7056.9208000000008</v>
      </c>
      <c r="W8" s="55">
        <f>'SA Oct 2020'!BL2</f>
        <v>0</v>
      </c>
      <c r="X8" s="56" t="str">
        <f>'SA Oct 2020'!BM2</f>
        <v>n</v>
      </c>
    </row>
    <row r="9" spans="1:53" x14ac:dyDescent="0.15">
      <c r="A9" s="70" t="str">
        <f>'SA Oct 2020'!K3</f>
        <v>Alinta Energy</v>
      </c>
      <c r="B9" s="49" t="str">
        <f>'SA Oct 2020'!L3</f>
        <v>Business Advantage</v>
      </c>
      <c r="C9" s="46">
        <f>IF('SA Oct 2020'!BP3=0,91*'SA Oct 2020'!M3/100,(91*'SA Oct 2020'!M3/100)+'SA Oct 2020'!BP3/4)</f>
        <v>82.355000000000004</v>
      </c>
      <c r="D9" s="46">
        <f>IF('SA Oct 2020'!O3="",$C$5*'SA Oct 2020'!N3/100,IF($C$5&gt;='SA Oct 2020'!P3,('SA Oct 2020'!P3*'SA Oct 2020'!N3/100),($C$5*'SA Oct 2020'!N3/100)))</f>
        <v>849.31818181818176</v>
      </c>
      <c r="E9" s="46">
        <f>IF(AND('SA Oct 2020'!P3&gt;0,'SA Oct 2020'!R3&gt;0),IF($C$5&lt;'SA Oct 2020'!P3,0,IF($C$5&lt;=('SA Oct 2020'!R3+'SA Oct 2020'!P3),(($C$5-'SA Oct 2020'!P3)*'SA Oct 2020'!Q3/100),(('SA Oct 2020'!R3)*'SA Oct 2020'!Q3/100))),0)</f>
        <v>0</v>
      </c>
      <c r="F9" s="46">
        <f>IF(AND('SA Oct 2020'!Q3&gt;0,'SA Oct 2020'!S3&gt;0),IF($C$5&lt;('SA Oct 2020'!R3+'SA Oct 2020'!P3),0,IF($C$5&lt;=('SA Oct 2020'!T3+'SA Oct 2020'!R3+'SA Oct 2020'!P3),(($C$5-('SA Oct 2020'!R3+'SA Oct 2020'!P3))*'SA Oct 2020'!S3/100),('SA Oct 2020'!T3*'SA Oct 2020'!S3/100))),0)</f>
        <v>0</v>
      </c>
      <c r="G9" s="50">
        <v>0</v>
      </c>
      <c r="H9" s="46">
        <f>IF(AND('SA Oct 2020'!R3&gt;0,'SA Oct 2020'!T3&gt;0),IF(($C$5&lt;'SA Oct 2020'!T3),(0),($C$5-'SA Oct 2020'!T3)*'SA Oct 2020'!U3/100),IF(AND('SA Oct 2020'!R3&gt;0,'SA Oct 2020'!T3=""),IF(($C$5&lt;'SA Oct 2020'!R3+'SA Oct 2020'!P3),(0),(($C$5-('SA Oct 2020'!R3+'SA Oct 2020'!P3))*'SA Oct 2020'!S3/100)),IF(AND('SA Oct 2020'!P3&gt;0,'SA Oct 2020'!R3=""&gt;0),IF(($C$5&lt;'SA Oct 2020'!P3),(0),($C$5-'SA Oct 2020'!P3)*'SA Oct 2020'!Q3/100),0)))</f>
        <v>849.31818181818176</v>
      </c>
      <c r="I9" s="52">
        <f t="shared" ref="I9:I13" si="2">SUM(C9:H9)</f>
        <v>1780.9913636363635</v>
      </c>
      <c r="J9" s="109">
        <f t="shared" ref="J9:J24" si="3">(I9-C9)*4</f>
        <v>6794.545454545454</v>
      </c>
      <c r="K9" s="109">
        <f t="shared" si="0"/>
        <v>7123.9654545454541</v>
      </c>
      <c r="L9" s="53">
        <f t="shared" ref="L9:L24" si="4">K9*1.1</f>
        <v>7836.3620000000001</v>
      </c>
      <c r="M9" s="54">
        <f>'SA Oct 2020'!BB3</f>
        <v>0</v>
      </c>
      <c r="N9" s="54">
        <f>'SA Oct 2020'!BC3</f>
        <v>0</v>
      </c>
      <c r="O9" s="54">
        <f>'SA Oct 2020'!BD3</f>
        <v>0</v>
      </c>
      <c r="P9" s="54">
        <f>'SA Oct 2020'!BE3</f>
        <v>0</v>
      </c>
      <c r="Q9" s="110" t="str">
        <f t="shared" ref="Q9:Q24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V24" si="6">S9*1.1</f>
        <v>7836.3620000000001</v>
      </c>
      <c r="V9" s="98">
        <f t="shared" si="6"/>
        <v>7836.3620000000001</v>
      </c>
      <c r="W9" s="55">
        <f>'SA Oct 2020'!BL3</f>
        <v>0</v>
      </c>
      <c r="X9" s="56" t="str">
        <f>'SA Oct 2020'!BM3</f>
        <v>n</v>
      </c>
    </row>
    <row r="10" spans="1:53" x14ac:dyDescent="0.15">
      <c r="A10" s="70" t="str">
        <f>'SA Oct 2020'!K4</f>
        <v>Click Energy</v>
      </c>
      <c r="B10" s="49" t="str">
        <f>'SA Oct 2020'!L4</f>
        <v>Click Business Pin</v>
      </c>
      <c r="C10" s="46">
        <f>IF('SA Oct 2020'!BP4=0,91*'SA Oct 2020'!M4/100,(91*'SA Oct 2020'!M4/100)+'SA Oct 2020'!BP4/4)</f>
        <v>72.36154545454545</v>
      </c>
      <c r="D10" s="46">
        <f>IF('SA Oct 2020'!O4="",$C$5*'SA Oct 2020'!N4/100,IF($C$5&gt;='SA Oct 2020'!P4,('SA Oct 2020'!P4*'SA Oct 2020'!N4/100),($C$5*'SA Oct 2020'!N4/100)))</f>
        <v>1494.0909090909088</v>
      </c>
      <c r="E10" s="46">
        <f>IF(AND('SA Oct 2020'!P4&gt;0,'SA Oct 2020'!R4&gt;0),IF($C$5&lt;'SA Oct 2020'!P4,0,IF($C$5&lt;=('SA Oct 2020'!R4+'SA Oct 2020'!P4),(($C$5-'SA Oct 2020'!P4)*'SA Oct 2020'!Q4/100),(('SA Oct 2020'!R4)*'SA Oct 2020'!Q4/100))),0)</f>
        <v>0</v>
      </c>
      <c r="F10" s="46">
        <f>IF(AND('SA Oct 2020'!Q4&gt;0,'SA Oct 2020'!S4&gt;0),IF($C$5&lt;('SA Oct 2020'!R4+'SA Oct 2020'!P4),0,IF($C$5&lt;=('SA Oct 2020'!T4+'SA Oct 2020'!R4+'SA Oct 2020'!P4),(($C$5-('SA Oct 2020'!R4+'SA Oct 2020'!P4))*'SA Oct 2020'!S4/100),('SA Oct 2020'!T4*'SA Oct 2020'!S4/100))),0)</f>
        <v>0</v>
      </c>
      <c r="G10" s="50">
        <v>0</v>
      </c>
      <c r="H10" s="46">
        <f>IF(AND('SA Oct 2020'!R4&gt;0,'SA Oct 2020'!T4&gt;0),IF(($C$5&lt;'SA Oct 2020'!T4),(0),($C$5-'SA Oct 2020'!T4)*'SA Oct 2020'!U4/100),IF(AND('SA Oct 2020'!R4&gt;0,'SA Oct 2020'!T4=""),IF(($C$5&lt;'SA Oct 2020'!R4+'SA Oct 2020'!P4),(0),(($C$5-('SA Oct 2020'!R4+'SA Oct 2020'!P4))*'SA Oct 2020'!S4/100)),IF(AND('SA Oct 2020'!P4&gt;0,'SA Oct 2020'!R4=""&gt;0),IF(($C$5&lt;'SA Oct 2020'!P4),(0),($C$5-'SA Oct 2020'!P4)*'SA Oct 2020'!Q4/100),0)))</f>
        <v>0</v>
      </c>
      <c r="I10" s="52">
        <f t="shared" si="2"/>
        <v>1566.4524545454542</v>
      </c>
      <c r="J10" s="109">
        <f t="shared" si="3"/>
        <v>5976.3636363636351</v>
      </c>
      <c r="K10" s="109">
        <f t="shared" si="0"/>
        <v>6265.8098181818168</v>
      </c>
      <c r="L10" s="53">
        <f t="shared" si="4"/>
        <v>6892.3907999999992</v>
      </c>
      <c r="M10" s="54">
        <f>'SA Oct 2020'!BB4</f>
        <v>0</v>
      </c>
      <c r="N10" s="54">
        <f>'SA Oct 2020'!BC4</f>
        <v>0</v>
      </c>
      <c r="O10" s="54">
        <f>'SA Oct 2020'!BD4</f>
        <v>0</v>
      </c>
      <c r="P10" s="54">
        <f>'SA Oct 2020'!BE4</f>
        <v>0</v>
      </c>
      <c r="Q10" s="110" t="str">
        <f t="shared" si="5"/>
        <v>No discount</v>
      </c>
      <c r="R10" s="73" t="str">
        <f t="shared" si="1"/>
        <v>Exclusive</v>
      </c>
      <c r="S10" s="111">
        <f t="shared" ref="S10:S24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6265.8098181818168</v>
      </c>
      <c r="T10" s="112">
        <f t="shared" ref="T10:T24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6265.8098181818168</v>
      </c>
      <c r="U10" s="97">
        <f t="shared" si="6"/>
        <v>6892.3907999999992</v>
      </c>
      <c r="V10" s="98">
        <f t="shared" si="6"/>
        <v>6892.3907999999992</v>
      </c>
      <c r="W10" s="55">
        <f>'SA Oct 2020'!BL4</f>
        <v>0</v>
      </c>
      <c r="X10" s="56" t="str">
        <f>'SA Oct 2020'!BM4</f>
        <v>n</v>
      </c>
      <c r="Y10" s="295"/>
      <c r="Z10" s="295"/>
      <c r="AA10" s="295"/>
      <c r="AB10" s="295"/>
      <c r="AC10" s="295"/>
      <c r="AD10" s="295"/>
      <c r="AE10" s="295"/>
      <c r="AF10" s="295"/>
      <c r="AG10" s="295"/>
      <c r="AH10" s="295"/>
      <c r="AI10" s="295"/>
      <c r="AJ10" s="295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</row>
    <row r="11" spans="1:53" x14ac:dyDescent="0.15">
      <c r="A11" s="70" t="str">
        <f>'SA Oct 2020'!K5</f>
        <v>Commander</v>
      </c>
      <c r="B11" s="49" t="str">
        <f>'SA Oct 2020'!L5</f>
        <v>Market offer</v>
      </c>
      <c r="C11" s="46">
        <f>IF('SA Oct 2020'!BP5=0,91*'SA Oct 2020'!M5/100,(91*'SA Oct 2020'!M5/100)+'SA Oct 2020'!BP5/4)</f>
        <v>87.053909090909087</v>
      </c>
      <c r="D11" s="46">
        <f>IF('SA Oct 2020'!O5="",$C$5*'SA Oct 2020'!N5/100,IF($C$5&gt;='SA Oct 2020'!P5,('SA Oct 2020'!P5*'SA Oct 2020'!N5/100),($C$5*'SA Oct 2020'!N5/100)))</f>
        <v>1687.727272727273</v>
      </c>
      <c r="E11" s="46">
        <f>IF(AND('SA Oct 2020'!P5&gt;0,'SA Oct 2020'!R5&gt;0),IF($C$5&lt;'SA Oct 2020'!P5,0,IF($C$5&lt;=('SA Oct 2020'!R5+'SA Oct 2020'!P5),(($C$5-'SA Oct 2020'!P5)*'SA Oct 2020'!Q5/100),(('SA Oct 2020'!R5)*'SA Oct 2020'!Q5/100))),0)</f>
        <v>0</v>
      </c>
      <c r="F11" s="46">
        <f>IF(AND('SA Oct 2020'!Q5&gt;0,'SA Oct 2020'!S5&gt;0),IF($C$5&lt;('SA Oct 2020'!R5+'SA Oct 2020'!P5),0,IF($C$5&lt;=('SA Oct 2020'!T5+'SA Oct 2020'!R5+'SA Oct 2020'!P5),(($C$5-('SA Oct 2020'!R5+'SA Oct 2020'!P5))*'SA Oct 2020'!S5/100),('SA Oct 2020'!T5*'SA Oct 2020'!S5/100))),0)</f>
        <v>0</v>
      </c>
      <c r="G11" s="50">
        <v>0</v>
      </c>
      <c r="H11" s="46">
        <f>IF(AND('SA Oct 2020'!R5&gt;0,'SA Oct 2020'!T5&gt;0),IF(($C$5&lt;'SA Oct 2020'!T5),(0),($C$5-'SA Oct 2020'!T5)*'SA Oct 2020'!U5/100),IF(AND('SA Oct 2020'!R5&gt;0,'SA Oct 2020'!T5=""),IF(($C$5&lt;'SA Oct 2020'!R5+'SA Oct 2020'!P5),(0),(($C$5-('SA Oct 2020'!R5+'SA Oct 2020'!P5))*'SA Oct 2020'!S5/100)),IF(AND('SA Oct 2020'!P5&gt;0,'SA Oct 2020'!R5=""&gt;0),IF(($C$5&lt;'SA Oct 2020'!P5),(0),($C$5-'SA Oct 2020'!P5)*'SA Oct 2020'!Q5/100),0)))</f>
        <v>0</v>
      </c>
      <c r="I11" s="52">
        <f t="shared" si="2"/>
        <v>1774.7811818181822</v>
      </c>
      <c r="J11" s="109">
        <f t="shared" si="3"/>
        <v>6750.9090909090919</v>
      </c>
      <c r="K11" s="109">
        <f t="shared" si="0"/>
        <v>7099.1247272727287</v>
      </c>
      <c r="L11" s="53">
        <f t="shared" si="4"/>
        <v>7809.0372000000025</v>
      </c>
      <c r="M11" s="54">
        <f>'SA Oct 2020'!BB5</f>
        <v>0</v>
      </c>
      <c r="N11" s="54">
        <f>'SA Oct 2020'!BC5</f>
        <v>0</v>
      </c>
      <c r="O11" s="54">
        <f>'SA Oct 2020'!BD5</f>
        <v>0</v>
      </c>
      <c r="P11" s="54">
        <f>'SA Oct 2020'!BE5</f>
        <v>0</v>
      </c>
      <c r="Q11" s="110" t="str">
        <f t="shared" si="5"/>
        <v>No discount</v>
      </c>
      <c r="R11" s="73" t="str">
        <f t="shared" si="1"/>
        <v>Exclusive</v>
      </c>
      <c r="S11" s="111">
        <f t="shared" si="7"/>
        <v>7099.1247272727287</v>
      </c>
      <c r="T11" s="112">
        <f t="shared" si="8"/>
        <v>7099.1247272727287</v>
      </c>
      <c r="U11" s="97">
        <f t="shared" si="6"/>
        <v>7809.0372000000025</v>
      </c>
      <c r="V11" s="98">
        <f t="shared" si="6"/>
        <v>7809.0372000000025</v>
      </c>
      <c r="W11" s="55">
        <f>'SA Oct 2020'!BL5</f>
        <v>0</v>
      </c>
      <c r="X11" s="56" t="str">
        <f>'SA Oct 2020'!BM5</f>
        <v>n</v>
      </c>
    </row>
    <row r="12" spans="1:53" x14ac:dyDescent="0.15">
      <c r="A12" s="70" t="str">
        <f>'SA Oct 2020'!K6</f>
        <v>Diamond Energy</v>
      </c>
      <c r="B12" s="49" t="str">
        <f>'SA Oct 2020'!L6</f>
        <v>Renewable Saver POT</v>
      </c>
      <c r="C12" s="46">
        <f>IF('SA Oct 2020'!BP6=0,91*'SA Oct 2020'!M6/100,(91*'SA Oct 2020'!M6/100)+'SA Oct 2020'!BP6/4)</f>
        <v>90.545000000000002</v>
      </c>
      <c r="D12" s="46">
        <f>IF('SA Oct 2020'!O6="",$C$5*'SA Oct 2020'!N6/100,IF($C$5&gt;='SA Oct 2020'!P6,('SA Oct 2020'!P6*'SA Oct 2020'!N6/100),($C$5*'SA Oct 2020'!N6/100)))</f>
        <v>375.54545454545456</v>
      </c>
      <c r="E12" s="46">
        <f>IF(AND('SA Oct 2020'!P6&gt;0,'SA Oct 2020'!R6&gt;0),IF($C$5&lt;'SA Oct 2020'!P6,0,IF($C$5&lt;=('SA Oct 2020'!R6+'SA Oct 2020'!P6),(($C$5-'SA Oct 2020'!P6)*'SA Oct 2020'!Q6/100),(('SA Oct 2020'!R6)*'SA Oct 2020'!Q6/100))),0)</f>
        <v>0</v>
      </c>
      <c r="F12" s="46">
        <f>IF(AND('SA Oct 2020'!Q6&gt;0,'SA Oct 2020'!S6&gt;0),IF($C$5&lt;('SA Oct 2020'!R6+'SA Oct 2020'!P6),0,IF($C$5&lt;=('SA Oct 2020'!T6+'SA Oct 2020'!R6+'SA Oct 2020'!P6),(($C$5-('SA Oct 2020'!R6+'SA Oct 2020'!P6))*'SA Oct 2020'!S6/100),('SA Oct 2020'!T6*'SA Oct 2020'!S6/100))),0)</f>
        <v>0</v>
      </c>
      <c r="G12" s="50">
        <v>0</v>
      </c>
      <c r="H12" s="46">
        <f>IF(AND('SA Oct 2020'!R6&gt;0,'SA Oct 2020'!T6&gt;0),IF(($C$5&lt;'SA Oct 2020'!T6),(0),($C$5-'SA Oct 2020'!T6)*'SA Oct 2020'!U6/100),IF(AND('SA Oct 2020'!R6&gt;0,'SA Oct 2020'!T6=""),IF(($C$5&lt;'SA Oct 2020'!R6+'SA Oct 2020'!P6),(0),(($C$5-('SA Oct 2020'!R6+'SA Oct 2020'!P6))*'SA Oct 2020'!S6/100)),IF(AND('SA Oct 2020'!P6&gt;0,'SA Oct 2020'!R6=""&gt;0),IF(($C$5&lt;'SA Oct 2020'!P6),(0),($C$5-'SA Oct 2020'!P6)*'SA Oct 2020'!Q6/100),0)))</f>
        <v>1598.1818181818182</v>
      </c>
      <c r="I12" s="52">
        <f t="shared" si="2"/>
        <v>2064.272272727273</v>
      </c>
      <c r="J12" s="109">
        <f t="shared" si="3"/>
        <v>7894.9090909090919</v>
      </c>
      <c r="K12" s="109">
        <f t="shared" si="0"/>
        <v>8257.0890909090922</v>
      </c>
      <c r="L12" s="53">
        <f t="shared" si="4"/>
        <v>9082.7980000000025</v>
      </c>
      <c r="M12" s="54">
        <f>'SA Oct 2020'!BB6</f>
        <v>0</v>
      </c>
      <c r="N12" s="54">
        <f>'SA Oct 2020'!BC6</f>
        <v>0</v>
      </c>
      <c r="O12" s="54">
        <f>'SA Oct 2020'!BD6</f>
        <v>7</v>
      </c>
      <c r="P12" s="54">
        <f>'SA Oct 2020'!BE6</f>
        <v>0</v>
      </c>
      <c r="Q12" s="110" t="str">
        <f t="shared" si="5"/>
        <v>Pay-on-time off bill</v>
      </c>
      <c r="R12" s="73" t="str">
        <f t="shared" si="1"/>
        <v>Exclusive</v>
      </c>
      <c r="S12" s="111">
        <f t="shared" si="7"/>
        <v>8257.0890909090922</v>
      </c>
      <c r="T12" s="112">
        <f t="shared" si="8"/>
        <v>7679.0928545454553</v>
      </c>
      <c r="U12" s="97">
        <f t="shared" si="6"/>
        <v>9082.7980000000025</v>
      </c>
      <c r="V12" s="98">
        <f t="shared" si="6"/>
        <v>8447.0021400000023</v>
      </c>
      <c r="W12" s="55">
        <f>'SA Oct 2020'!BL6</f>
        <v>0</v>
      </c>
      <c r="X12" s="56" t="str">
        <f>'SA Oct 2020'!BM6</f>
        <v>n</v>
      </c>
    </row>
    <row r="13" spans="1:53" x14ac:dyDescent="0.15">
      <c r="A13" s="70" t="str">
        <f>'SA Oct 2020'!K7</f>
        <v>EnergyAustralia</v>
      </c>
      <c r="B13" s="49" t="str">
        <f>'SA Oct 2020'!L7</f>
        <v>Total Plan</v>
      </c>
      <c r="C13" s="46">
        <f>IF('SA Oct 2020'!BP7=0,91*'SA Oct 2020'!M7/100,(91*'SA Oct 2020'!M7/100)+'SA Oct 2020'!BP7/4)</f>
        <v>89.179999999999978</v>
      </c>
      <c r="D13" s="46">
        <f>IF('SA Oct 2020'!O7="",$C$5*'SA Oct 2020'!N7/100,IF($C$5&gt;='SA Oct 2020'!P7,('SA Oct 2020'!P7*'SA Oct 2020'!N7/100),($C$5*'SA Oct 2020'!N7/100)))</f>
        <v>1798.181818181818</v>
      </c>
      <c r="E13" s="46">
        <f>IF(AND('SA Oct 2020'!P7&gt;0,'SA Oct 2020'!R7&gt;0),IF($C$5&lt;'SA Oct 2020'!P7,0,IF($C$5&lt;=('SA Oct 2020'!R7+'SA Oct 2020'!P7),(($C$5-'SA Oct 2020'!P7)*'SA Oct 2020'!Q7/100),(('SA Oct 2020'!R7)*'SA Oct 2020'!Q7/100))),0)</f>
        <v>0</v>
      </c>
      <c r="F13" s="46">
        <f>IF(AND('SA Oct 2020'!Q7&gt;0,'SA Oct 2020'!S7&gt;0),IF($C$5&lt;('SA Oct 2020'!R7+'SA Oct 2020'!P7),0,IF($C$5&lt;=('SA Oct 2020'!T7+'SA Oct 2020'!R7+'SA Oct 2020'!P7),(($C$5-('SA Oct 2020'!R7+'SA Oct 2020'!P7))*'SA Oct 2020'!S7/100),('SA Oct 2020'!T7*'SA Oct 2020'!S7/100))),0)</f>
        <v>0</v>
      </c>
      <c r="G13" s="50">
        <v>0</v>
      </c>
      <c r="H13" s="46">
        <f>IF(AND('SA Oct 2020'!R7&gt;0,'SA Oct 2020'!T7&gt;0),IF(($C$5&lt;'SA Oct 2020'!T7),(0),($C$5-'SA Oct 2020'!T7)*'SA Oct 2020'!U7/100),IF(AND('SA Oct 2020'!R7&gt;0,'SA Oct 2020'!T7=""),IF(($C$5&lt;'SA Oct 2020'!R7+'SA Oct 2020'!P7),(0),(($C$5-('SA Oct 2020'!R7+'SA Oct 2020'!P7))*'SA Oct 2020'!S7/100)),IF(AND('SA Oct 2020'!P7&gt;0,'SA Oct 2020'!R7=""&gt;0),IF(($C$5&lt;'SA Oct 2020'!P7),(0),($C$5-'SA Oct 2020'!P7)*'SA Oct 2020'!Q7/100),0)))</f>
        <v>0</v>
      </c>
      <c r="I13" s="52">
        <f t="shared" si="2"/>
        <v>1887.3618181818181</v>
      </c>
      <c r="J13" s="109">
        <f t="shared" si="3"/>
        <v>7192.7272727272721</v>
      </c>
      <c r="K13" s="109">
        <f t="shared" si="0"/>
        <v>7549.4472727272723</v>
      </c>
      <c r="L13" s="53">
        <f t="shared" si="4"/>
        <v>8304.3919999999998</v>
      </c>
      <c r="M13" s="54">
        <f>'SA Oct 2020'!BB7</f>
        <v>3</v>
      </c>
      <c r="N13" s="54">
        <f>'SA Oct 2020'!BC7</f>
        <v>0</v>
      </c>
      <c r="O13" s="54">
        <f>'SA Oct 2020'!BD7</f>
        <v>0</v>
      </c>
      <c r="P13" s="54">
        <f>'SA Oct 2020'!BE7</f>
        <v>0</v>
      </c>
      <c r="Q13" s="110" t="str">
        <f t="shared" si="5"/>
        <v>Guaranteed off bill</v>
      </c>
      <c r="R13" s="73" t="str">
        <f t="shared" si="1"/>
        <v>Exclusive</v>
      </c>
      <c r="S13" s="111">
        <f t="shared" si="7"/>
        <v>7322.9638545454545</v>
      </c>
      <c r="T13" s="112">
        <f t="shared" si="8"/>
        <v>7322.9638545454545</v>
      </c>
      <c r="U13" s="97">
        <f t="shared" si="6"/>
        <v>8055.2602400000005</v>
      </c>
      <c r="V13" s="98">
        <f t="shared" si="6"/>
        <v>8055.2602400000005</v>
      </c>
      <c r="W13" s="55">
        <f>'SA Oct 2020'!BL7</f>
        <v>0</v>
      </c>
      <c r="X13" s="56" t="str">
        <f>'SA Oct 2020'!BM7</f>
        <v>n</v>
      </c>
      <c r="Y13" s="295"/>
      <c r="Z13" s="295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</row>
    <row r="14" spans="1:53" x14ac:dyDescent="0.15">
      <c r="A14" s="70" t="str">
        <f>'SA Oct 2020'!K8</f>
        <v>Lumo Energy</v>
      </c>
      <c r="B14" s="49" t="str">
        <f>'SA Oct 2020'!L8</f>
        <v>Basic</v>
      </c>
      <c r="C14" s="46">
        <f>IF('SA Oct 2020'!BP8=0,91*'SA Oct 2020'!M8/100,(91*'SA Oct 2020'!M8/100)+'SA Oct 2020'!BP8/4)</f>
        <v>78.276545454545442</v>
      </c>
      <c r="D14" s="46">
        <f>IF('SA Oct 2020'!O8="",$C$5*'SA Oct 2020'!N8/100,IF($C$5&gt;='SA Oct 2020'!P8,('SA Oct 2020'!P8*'SA Oct 2020'!N8/100),($C$5*'SA Oct 2020'!N8/100)))</f>
        <v>1694.5454545454545</v>
      </c>
      <c r="E14" s="46">
        <f>IF(AND('SA Oct 2020'!P8&gt;0,'SA Oct 2020'!R8&gt;0),IF($C$5&lt;'SA Oct 2020'!P8,0,IF($C$5&lt;=('SA Oct 2020'!R8+'SA Oct 2020'!P8),(($C$5-'SA Oct 2020'!P8)*'SA Oct 2020'!Q8/100),(('SA Oct 2020'!R8)*'SA Oct 2020'!Q8/100))),0)</f>
        <v>0</v>
      </c>
      <c r="F14" s="46">
        <f>IF(AND('SA Oct 2020'!Q8&gt;0,'SA Oct 2020'!S8&gt;0),IF($C$5&lt;('SA Oct 2020'!R8+'SA Oct 2020'!P8),0,IF($C$5&lt;=('SA Oct 2020'!T8+'SA Oct 2020'!R8+'SA Oct 2020'!P8),(($C$5-('SA Oct 2020'!R8+'SA Oct 2020'!P8))*'SA Oct 2020'!S8/100),('SA Oct 2020'!T8*'SA Oct 2020'!S8/100))),0)</f>
        <v>0</v>
      </c>
      <c r="G14" s="50">
        <v>1</v>
      </c>
      <c r="H14" s="46">
        <f>IF(AND('SA Oct 2020'!R8&gt;0,'SA Oct 2020'!T8&gt;0),IF(($C$5&lt;'SA Oct 2020'!T8),(0),($C$5-'SA Oct 2020'!T8)*'SA Oct 2020'!U8/100),IF(AND('SA Oct 2020'!R8&gt;0,'SA Oct 2020'!T8=""),IF(($C$5&lt;'SA Oct 2020'!R8+'SA Oct 2020'!P8),(0),(($C$5-('SA Oct 2020'!R8+'SA Oct 2020'!P8))*'SA Oct 2020'!S8/100)),IF(AND('SA Oct 2020'!P8&gt;0,'SA Oct 2020'!R8=""&gt;0),IF(($C$5&lt;'SA Oct 2020'!P8),(0),($C$5-'SA Oct 2020'!P8)*'SA Oct 2020'!Q8/100),0)))</f>
        <v>0</v>
      </c>
      <c r="I14" s="52">
        <f t="shared" ref="I14" si="9">SUM(C14:H14)</f>
        <v>1773.8219999999999</v>
      </c>
      <c r="J14" s="109">
        <f t="shared" si="3"/>
        <v>6782.181818181818</v>
      </c>
      <c r="K14" s="109">
        <f t="shared" si="0"/>
        <v>7095.2879999999996</v>
      </c>
      <c r="L14" s="53">
        <f t="shared" si="4"/>
        <v>7804.8168000000005</v>
      </c>
      <c r="M14" s="54">
        <f>'SA Oct 2020'!BB8</f>
        <v>0</v>
      </c>
      <c r="N14" s="54">
        <f>'SA Oct 2020'!BC8</f>
        <v>0</v>
      </c>
      <c r="O14" s="54">
        <f>'SA Oct 2020'!BD8</f>
        <v>0</v>
      </c>
      <c r="P14" s="54">
        <f>'SA Oct 2020'!BE8</f>
        <v>0</v>
      </c>
      <c r="Q14" s="110" t="str">
        <f t="shared" si="5"/>
        <v>No discount</v>
      </c>
      <c r="R14" s="73" t="str">
        <f t="shared" si="1"/>
        <v>Exclusive</v>
      </c>
      <c r="S14" s="111">
        <f t="shared" si="7"/>
        <v>7095.2879999999996</v>
      </c>
      <c r="T14" s="112">
        <f t="shared" si="8"/>
        <v>7095.2879999999996</v>
      </c>
      <c r="U14" s="97">
        <f t="shared" si="6"/>
        <v>7804.8168000000005</v>
      </c>
      <c r="V14" s="98">
        <f t="shared" si="6"/>
        <v>7804.8168000000005</v>
      </c>
      <c r="W14" s="55">
        <f>'SA Oct 2020'!BL8</f>
        <v>0</v>
      </c>
      <c r="X14" s="56" t="str">
        <f>'SA Oct 2020'!BM8</f>
        <v>n</v>
      </c>
    </row>
    <row r="15" spans="1:53" x14ac:dyDescent="0.15">
      <c r="A15" s="70" t="str">
        <f>'SA Oct 2020'!K9</f>
        <v>Momentum Energy</v>
      </c>
      <c r="B15" s="49" t="str">
        <f>'SA Oct 2020'!L9</f>
        <v>SmilePower Flexi</v>
      </c>
      <c r="C15" s="46">
        <f>IF('SA Oct 2020'!BP9=0,91*'SA Oct 2020'!M9/100,(91*'SA Oct 2020'!M9/100)+'SA Oct 2020'!BP9/4)</f>
        <v>111.01999999999998</v>
      </c>
      <c r="D15" s="46">
        <f>IF('SA Oct 2020'!O9="",$C$5*'SA Oct 2020'!N9/100,IF($C$5&gt;='SA Oct 2020'!P9,('SA Oct 2020'!P9*'SA Oct 2020'!N9/100),($C$5*'SA Oct 2020'!N9/100)))</f>
        <v>1596.3636363636363</v>
      </c>
      <c r="E15" s="46">
        <f>IF(AND('SA Oct 2020'!P9&gt;0,'SA Oct 2020'!R9&gt;0),IF($C$5&lt;'SA Oct 2020'!P9,0,IF($C$5&lt;=('SA Oct 2020'!R9+'SA Oct 2020'!P9),(($C$5-'SA Oct 2020'!P9)*'SA Oct 2020'!Q9/100),(('SA Oct 2020'!R9)*'SA Oct 2020'!Q9/100))),0)</f>
        <v>0</v>
      </c>
      <c r="F15" s="46">
        <f>IF(AND('SA Oct 2020'!Q9&gt;0,'SA Oct 2020'!S9&gt;0),IF($C$5&lt;('SA Oct 2020'!R9+'SA Oct 2020'!P9),0,IF($C$5&lt;=('SA Oct 2020'!T9+'SA Oct 2020'!R9+'SA Oct 2020'!P9),(($C$5-('SA Oct 2020'!R9+'SA Oct 2020'!P9))*'SA Oct 2020'!S9/100),('SA Oct 2020'!T9*'SA Oct 2020'!S9/100))),0)</f>
        <v>0</v>
      </c>
      <c r="G15" s="50">
        <v>0</v>
      </c>
      <c r="H15" s="46">
        <f>IF(AND('SA Oct 2020'!R9&gt;0,'SA Oct 2020'!T9&gt;0),IF(($C$5&lt;'SA Oct 2020'!T9),(0),($C$5-'SA Oct 2020'!T9)*'SA Oct 2020'!U9/100),IF(AND('SA Oct 2020'!R9&gt;0,'SA Oct 2020'!T9=""),IF(($C$5&lt;'SA Oct 2020'!R9+'SA Oct 2020'!P9),(0),(($C$5-('SA Oct 2020'!R9+'SA Oct 2020'!P9))*'SA Oct 2020'!S9/100)),IF(AND('SA Oct 2020'!P9&gt;0,'SA Oct 2020'!R9=""&gt;0),IF(($C$5&lt;'SA Oct 2020'!P9),(0),($C$5-'SA Oct 2020'!P9)*'SA Oct 2020'!Q9/100),0)))</f>
        <v>0</v>
      </c>
      <c r="I15" s="52">
        <f t="shared" ref="I15:I24" si="10">SUM(C15:H15)</f>
        <v>1707.3836363636362</v>
      </c>
      <c r="J15" s="109">
        <f t="shared" si="3"/>
        <v>6385.454545454545</v>
      </c>
      <c r="K15" s="109">
        <f t="shared" si="0"/>
        <v>6829.534545454545</v>
      </c>
      <c r="L15" s="53">
        <f t="shared" si="4"/>
        <v>7512.4880000000003</v>
      </c>
      <c r="M15" s="54">
        <f>'SA Oct 2020'!BB9</f>
        <v>0</v>
      </c>
      <c r="N15" s="54">
        <f>'SA Oct 2020'!BC9</f>
        <v>0</v>
      </c>
      <c r="O15" s="54">
        <f>'SA Oct 2020'!BD9</f>
        <v>0</v>
      </c>
      <c r="P15" s="54">
        <f>'SA Oct 2020'!BE9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6829.534545454545</v>
      </c>
      <c r="T15" s="112">
        <f t="shared" si="8"/>
        <v>6829.534545454545</v>
      </c>
      <c r="U15" s="97">
        <f t="shared" si="6"/>
        <v>7512.4880000000003</v>
      </c>
      <c r="V15" s="98">
        <f t="shared" si="6"/>
        <v>7512.4880000000003</v>
      </c>
      <c r="W15" s="55">
        <f>'SA Oct 2020'!BL9</f>
        <v>0</v>
      </c>
      <c r="X15" s="56" t="str">
        <f>'SA Oct 2020'!BM9</f>
        <v>n</v>
      </c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</row>
    <row r="16" spans="1:53" x14ac:dyDescent="0.15">
      <c r="A16" s="70" t="str">
        <f>'SA Oct 2020'!K10</f>
        <v>Origin Energy</v>
      </c>
      <c r="B16" s="49" t="str">
        <f>'SA Oct 2020'!L10</f>
        <v xml:space="preserve">Flexi </v>
      </c>
      <c r="C16" s="46">
        <f>IF('SA Oct 2020'!BP10=0,91*'SA Oct 2020'!M10/100,(91*'SA Oct 2020'!M10/100)+'SA Oct 2020'!BP10/4)</f>
        <v>74.669636363636357</v>
      </c>
      <c r="D16" s="46">
        <f>IF('SA Oct 2020'!O10="",$C$5*'SA Oct 2020'!N10/100,IF($C$5&gt;='SA Oct 2020'!P10,('SA Oct 2020'!P10*'SA Oct 2020'!N10/100),($C$5*'SA Oct 2020'!N10/100)))</f>
        <v>1812.7272727272727</v>
      </c>
      <c r="E16" s="46">
        <f>IF(AND('SA Oct 2020'!P10&gt;0,'SA Oct 2020'!R10&gt;0),IF($C$5&lt;'SA Oct 2020'!P10,0,IF($C$5&lt;=('SA Oct 2020'!R10+'SA Oct 2020'!P10),(($C$5-'SA Oct 2020'!P10)*'SA Oct 2020'!Q10/100),(('SA Oct 2020'!R10)*'SA Oct 2020'!Q10/100))),0)</f>
        <v>0</v>
      </c>
      <c r="F16" s="46">
        <f>IF(AND('SA Oct 2020'!Q10&gt;0,'SA Oct 2020'!S10&gt;0),IF($C$5&lt;('SA Oct 2020'!R10+'SA Oct 2020'!P10),0,IF($C$5&lt;=('SA Oct 2020'!T10+'SA Oct 2020'!R10+'SA Oct 2020'!P10),(($C$5-('SA Oct 2020'!R10+'SA Oct 2020'!P10))*'SA Oct 2020'!S10/100),('SA Oct 2020'!T10*'SA Oct 2020'!S10/100))),0)</f>
        <v>0</v>
      </c>
      <c r="G16" s="50">
        <v>0</v>
      </c>
      <c r="H16" s="46">
        <f>IF(AND('SA Oct 2020'!R10&gt;0,'SA Oct 2020'!T10&gt;0),IF(($C$5&lt;'SA Oct 2020'!T10),(0),($C$5-'SA Oct 2020'!T10)*'SA Oct 2020'!U10/100),IF(AND('SA Oct 2020'!R10&gt;0,'SA Oct 2020'!T10=""),IF(($C$5&lt;'SA Oct 2020'!R10+'SA Oct 2020'!P10),(0),(($C$5-('SA Oct 2020'!R10+'SA Oct 2020'!P10))*'SA Oct 2020'!S10/100)),IF(AND('SA Oct 2020'!P10&gt;0,'SA Oct 2020'!R10=""&gt;0),IF(($C$5&lt;'SA Oct 2020'!P10),(0),($C$5-'SA Oct 2020'!P10)*'SA Oct 2020'!Q10/100),0)))</f>
        <v>0</v>
      </c>
      <c r="I16" s="52">
        <f t="shared" si="10"/>
        <v>1887.396909090909</v>
      </c>
      <c r="J16" s="109">
        <f t="shared" si="3"/>
        <v>7250.909090909091</v>
      </c>
      <c r="K16" s="109">
        <f t="shared" si="0"/>
        <v>7549.5876363636362</v>
      </c>
      <c r="L16" s="53">
        <f t="shared" si="4"/>
        <v>8304.5464000000011</v>
      </c>
      <c r="M16" s="54">
        <f>'SA Oct 2020'!BB10</f>
        <v>14</v>
      </c>
      <c r="N16" s="54">
        <f>'SA Oct 2020'!BC10</f>
        <v>0</v>
      </c>
      <c r="O16" s="54">
        <f>'SA Oct 2020'!BD10</f>
        <v>0</v>
      </c>
      <c r="P16" s="54">
        <f>'SA Oct 2020'!BE10</f>
        <v>0</v>
      </c>
      <c r="Q16" s="110" t="str">
        <f t="shared" si="5"/>
        <v>Guaranteed off bill</v>
      </c>
      <c r="R16" s="73" t="str">
        <f t="shared" si="1"/>
        <v>Inclusive</v>
      </c>
      <c r="S16" s="111">
        <f t="shared" si="7"/>
        <v>6492.6453672727275</v>
      </c>
      <c r="T16" s="112">
        <f t="shared" si="8"/>
        <v>6492.6453672727275</v>
      </c>
      <c r="U16" s="97">
        <f t="shared" si="6"/>
        <v>7141.909904000001</v>
      </c>
      <c r="V16" s="98">
        <f t="shared" si="6"/>
        <v>7141.909904000001</v>
      </c>
      <c r="W16" s="55">
        <f>'SA Oct 2020'!BL10</f>
        <v>0</v>
      </c>
      <c r="X16" s="56" t="str">
        <f>'SA Oct 2020'!BM10</f>
        <v>n</v>
      </c>
    </row>
    <row r="17" spans="1:53" x14ac:dyDescent="0.15">
      <c r="A17" s="70" t="str">
        <f>'SA Oct 2020'!K11</f>
        <v>Powerdirect</v>
      </c>
      <c r="B17" s="49" t="str">
        <f>'SA Oct 2020'!L11</f>
        <v>Business Rate Saver</v>
      </c>
      <c r="C17" s="46">
        <f>IF('SA Oct 2020'!BP11=0,91*'SA Oct 2020'!M11/100,(91*'SA Oct 2020'!M11/100)+'SA Oct 2020'!BP11/4)</f>
        <v>70.458818181818174</v>
      </c>
      <c r="D17" s="46">
        <f>IF('SA Oct 2020'!O11="",$C$5*'SA Oct 2020'!N11/100,IF($C$5&gt;='SA Oct 2020'!P11,('SA Oct 2020'!P11*'SA Oct 2020'!N11/100),($C$5*'SA Oct 2020'!N11/100)))</f>
        <v>1570.909090909091</v>
      </c>
      <c r="E17" s="46">
        <f>IF(AND('SA Oct 2020'!P11&gt;0,'SA Oct 2020'!R11&gt;0),IF($C$5&lt;'SA Oct 2020'!P11,0,IF($C$5&lt;=('SA Oct 2020'!R11+'SA Oct 2020'!P11),(($C$5-'SA Oct 2020'!P11)*'SA Oct 2020'!Q11/100),(('SA Oct 2020'!R11)*'SA Oct 2020'!Q11/100))),0)</f>
        <v>0</v>
      </c>
      <c r="F17" s="46">
        <f>IF(AND('SA Oct 2020'!Q11&gt;0,'SA Oct 2020'!S11&gt;0),IF($C$5&lt;('SA Oct 2020'!R11+'SA Oct 2020'!P11),0,IF($C$5&lt;=('SA Oct 2020'!T11+'SA Oct 2020'!R11+'SA Oct 2020'!P11),(($C$5-('SA Oct 2020'!R11+'SA Oct 2020'!P11))*'SA Oct 2020'!S11/100),('SA Oct 2020'!T11*'SA Oct 2020'!S11/100))),0)</f>
        <v>0</v>
      </c>
      <c r="G17" s="50">
        <v>0</v>
      </c>
      <c r="H17" s="46">
        <f>IF(AND('SA Oct 2020'!R11&gt;0,'SA Oct 2020'!T11&gt;0),IF(($C$5&lt;'SA Oct 2020'!T11),(0),($C$5-'SA Oct 2020'!T11)*'SA Oct 2020'!U11/100),IF(AND('SA Oct 2020'!R11&gt;0,'SA Oct 2020'!T11=""),IF(($C$5&lt;'SA Oct 2020'!R11+'SA Oct 2020'!P11),(0),(($C$5-('SA Oct 2020'!R11+'SA Oct 2020'!P11))*'SA Oct 2020'!S11/100)),IF(AND('SA Oct 2020'!P11&gt;0,'SA Oct 2020'!R11=""&gt;0),IF(($C$5&lt;'SA Oct 2020'!P11),(0),($C$5-'SA Oct 2020'!P11)*'SA Oct 2020'!Q11/100),0)))</f>
        <v>0</v>
      </c>
      <c r="I17" s="52">
        <f t="shared" si="10"/>
        <v>1641.3679090909091</v>
      </c>
      <c r="J17" s="109">
        <f t="shared" si="3"/>
        <v>6283.636363636364</v>
      </c>
      <c r="K17" s="109">
        <f t="shared" si="0"/>
        <v>6565.4716363636362</v>
      </c>
      <c r="L17" s="53">
        <f t="shared" si="4"/>
        <v>7222.0188000000007</v>
      </c>
      <c r="M17" s="54">
        <f>'SA Oct 2020'!BB11</f>
        <v>0</v>
      </c>
      <c r="N17" s="54">
        <f>'SA Oct 2020'!BC11</f>
        <v>0</v>
      </c>
      <c r="O17" s="54">
        <f>'SA Oct 2020'!BD11</f>
        <v>0</v>
      </c>
      <c r="P17" s="54">
        <f>'SA Oct 2020'!BE11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6565.4716363636362</v>
      </c>
      <c r="T17" s="112">
        <f t="shared" si="8"/>
        <v>6565.4716363636362</v>
      </c>
      <c r="U17" s="97">
        <f t="shared" si="6"/>
        <v>7222.0188000000007</v>
      </c>
      <c r="V17" s="98">
        <f t="shared" si="6"/>
        <v>7222.0188000000007</v>
      </c>
      <c r="W17" s="55">
        <f>'SA Oct 2020'!BL11</f>
        <v>0</v>
      </c>
      <c r="X17" s="56" t="str">
        <f>'SA Oct 2020'!BM11</f>
        <v>n</v>
      </c>
    </row>
    <row r="18" spans="1:53" x14ac:dyDescent="0.15">
      <c r="A18" s="70" t="str">
        <f>'SA Oct 2020'!K12</f>
        <v>Red Energy</v>
      </c>
      <c r="B18" s="49" t="str">
        <f>'SA Oct 2020'!L12</f>
        <v>Red Business Saver</v>
      </c>
      <c r="C18" s="46">
        <f>IF('SA Oct 2020'!BP12=0,91*'SA Oct 2020'!M12/100,(91*'SA Oct 2020'!M12/100)+'SA Oct 2020'!BP12/4)</f>
        <v>79.260999999999996</v>
      </c>
      <c r="D18" s="46">
        <f>IF('SA Oct 2020'!O12="",$C$5*'SA Oct 2020'!N12/100,IF($C$5&gt;='SA Oct 2020'!P12,('SA Oct 2020'!P12*'SA Oct 2020'!N12/100),($C$5*'SA Oct 2020'!N12/100)))</f>
        <v>1754.9999999999998</v>
      </c>
      <c r="E18" s="46">
        <f>IF(AND('SA Oct 2020'!P12&gt;0,'SA Oct 2020'!R12&gt;0),IF($C$5&lt;'SA Oct 2020'!P12,0,IF($C$5&lt;=('SA Oct 2020'!R12+'SA Oct 2020'!P12),(($C$5-'SA Oct 2020'!P12)*'SA Oct 2020'!Q12/100),(('SA Oct 2020'!R12)*'SA Oct 2020'!Q12/100))),0)</f>
        <v>0</v>
      </c>
      <c r="F18" s="46">
        <f>IF(AND('SA Oct 2020'!Q12&gt;0,'SA Oct 2020'!S12&gt;0),IF($C$5&lt;('SA Oct 2020'!R12+'SA Oct 2020'!P12),0,IF($C$5&lt;=('SA Oct 2020'!T12+'SA Oct 2020'!R12+'SA Oct 2020'!P12),(($C$5-('SA Oct 2020'!R12+'SA Oct 2020'!P12))*'SA Oct 2020'!S12/100),('SA Oct 2020'!T12*'SA Oct 2020'!S12/100))),0)</f>
        <v>0</v>
      </c>
      <c r="G18" s="50">
        <v>0</v>
      </c>
      <c r="H18" s="46">
        <f>IF(AND('SA Oct 2020'!R12&gt;0,'SA Oct 2020'!T12&gt;0),IF(($C$5&lt;'SA Oct 2020'!T12),(0),($C$5-'SA Oct 2020'!T12)*'SA Oct 2020'!U12/100),IF(AND('SA Oct 2020'!R12&gt;0,'SA Oct 2020'!T12=""),IF(($C$5&lt;'SA Oct 2020'!R12+'SA Oct 2020'!P12),(0),(($C$5-('SA Oct 2020'!R12+'SA Oct 2020'!P12))*'SA Oct 2020'!S12/100)),IF(AND('SA Oct 2020'!P12&gt;0,'SA Oct 2020'!R12=""&gt;0),IF(($C$5&lt;'SA Oct 2020'!P12),(0),($C$5-'SA Oct 2020'!P12)*'SA Oct 2020'!Q12/100),0)))</f>
        <v>0</v>
      </c>
      <c r="I18" s="52">
        <f t="shared" si="10"/>
        <v>1834.2609999999997</v>
      </c>
      <c r="J18" s="109">
        <f t="shared" si="3"/>
        <v>7019.9999999999991</v>
      </c>
      <c r="K18" s="109">
        <f t="shared" si="0"/>
        <v>7337.043999999999</v>
      </c>
      <c r="L18" s="53">
        <f t="shared" si="4"/>
        <v>8070.7483999999995</v>
      </c>
      <c r="M18" s="54">
        <f>'SA Oct 2020'!BB12</f>
        <v>0</v>
      </c>
      <c r="N18" s="54">
        <f>'SA Oct 2020'!BC12</f>
        <v>0</v>
      </c>
      <c r="O18" s="54">
        <f>'SA Oct 2020'!BD12</f>
        <v>0</v>
      </c>
      <c r="P18" s="54">
        <f>'SA Oct 2020'!BE12</f>
        <v>0</v>
      </c>
      <c r="Q18" s="110" t="str">
        <f t="shared" si="5"/>
        <v>No discount</v>
      </c>
      <c r="R18" s="73" t="str">
        <f t="shared" si="1"/>
        <v>Inclusive</v>
      </c>
      <c r="S18" s="111">
        <f t="shared" si="7"/>
        <v>7337.043999999999</v>
      </c>
      <c r="T18" s="112">
        <f t="shared" si="8"/>
        <v>7337.043999999999</v>
      </c>
      <c r="U18" s="97">
        <f t="shared" si="6"/>
        <v>8070.7483999999995</v>
      </c>
      <c r="V18" s="98">
        <f t="shared" si="6"/>
        <v>8070.7483999999995</v>
      </c>
      <c r="W18" s="55">
        <f>'SA Oct 2020'!BL12</f>
        <v>0</v>
      </c>
      <c r="X18" s="56" t="str">
        <f>'SA Oct 2020'!BM12</f>
        <v>n</v>
      </c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295"/>
      <c r="AN18" s="295"/>
      <c r="AO18" s="295"/>
      <c r="AP18" s="295"/>
      <c r="AQ18" s="295"/>
      <c r="AR18" s="295"/>
      <c r="AS18" s="295"/>
      <c r="AT18" s="295"/>
      <c r="AU18" s="295"/>
      <c r="AV18" s="295"/>
      <c r="AW18" s="295"/>
      <c r="AX18" s="295"/>
      <c r="AY18" s="295"/>
      <c r="AZ18" s="295"/>
      <c r="BA18" s="295"/>
    </row>
    <row r="19" spans="1:53" x14ac:dyDescent="0.15">
      <c r="A19" s="70" t="str">
        <f>'SA Oct 2020'!K13</f>
        <v>Simply Energy</v>
      </c>
      <c r="B19" s="49" t="str">
        <f>'SA Oct 2020'!L13</f>
        <v>Business Saver</v>
      </c>
      <c r="C19" s="46">
        <f>IF('SA Oct 2020'!BP13=0,91*'SA Oct 2020'!M13/100,(91*'SA Oct 2020'!M13/100)+'SA Oct 2020'!BP13/4)</f>
        <v>83.769636363636366</v>
      </c>
      <c r="D19" s="46">
        <f>IF('SA Oct 2020'!O13="",$C$5*'SA Oct 2020'!N13/100,IF($C$5&gt;='SA Oct 2020'!P13,('SA Oct 2020'!P13*'SA Oct 2020'!N13/100),($C$5*'SA Oct 2020'!N13/100)))</f>
        <v>1803.6363636363635</v>
      </c>
      <c r="E19" s="46">
        <f>IF(AND('SA Oct 2020'!P13&gt;0,'SA Oct 2020'!R13&gt;0),IF($C$5&lt;'SA Oct 2020'!P13,0,IF($C$5&lt;=('SA Oct 2020'!R13+'SA Oct 2020'!P13),(($C$5-'SA Oct 2020'!P13)*'SA Oct 2020'!Q13/100),(('SA Oct 2020'!R13)*'SA Oct 2020'!Q13/100))),0)</f>
        <v>0</v>
      </c>
      <c r="F19" s="46">
        <f>IF(AND('SA Oct 2020'!Q13&gt;0,'SA Oct 2020'!S13&gt;0),IF($C$5&lt;('SA Oct 2020'!R13+'SA Oct 2020'!P13),0,IF($C$5&lt;=('SA Oct 2020'!T13+'SA Oct 2020'!R13+'SA Oct 2020'!P13),(($C$5-('SA Oct 2020'!R13+'SA Oct 2020'!P13))*'SA Oct 2020'!S13/100),('SA Oct 2020'!T13*'SA Oct 2020'!S13/100))),0)</f>
        <v>0</v>
      </c>
      <c r="G19" s="50">
        <v>0</v>
      </c>
      <c r="H19" s="46">
        <f>IF(AND('SA Oct 2020'!R13&gt;0,'SA Oct 2020'!T13&gt;0),IF(($C$5&lt;'SA Oct 2020'!T13),(0),($C$5-'SA Oct 2020'!T13)*'SA Oct 2020'!U13/100),IF(AND('SA Oct 2020'!R13&gt;0,'SA Oct 2020'!T13=""),IF(($C$5&lt;'SA Oct 2020'!R13+'SA Oct 2020'!P13),(0),(($C$5-('SA Oct 2020'!R13+'SA Oct 2020'!P13))*'SA Oct 2020'!S13/100)),IF(AND('SA Oct 2020'!P13&gt;0,'SA Oct 2020'!R13=""&gt;0),IF(($C$5&lt;'SA Oct 2020'!P13),(0),($C$5-'SA Oct 2020'!P13)*'SA Oct 2020'!Q13/100),0)))</f>
        <v>0</v>
      </c>
      <c r="I19" s="52">
        <f t="shared" si="10"/>
        <v>1887.4059999999999</v>
      </c>
      <c r="J19" s="109">
        <f t="shared" si="3"/>
        <v>7214.545454545454</v>
      </c>
      <c r="K19" s="109">
        <f t="shared" si="0"/>
        <v>7549.6239999999998</v>
      </c>
      <c r="L19" s="53">
        <f t="shared" si="4"/>
        <v>8304.5864000000001</v>
      </c>
      <c r="M19" s="54">
        <f>'SA Oct 2020'!BB13</f>
        <v>11</v>
      </c>
      <c r="N19" s="54">
        <f>'SA Oct 2020'!BC13</f>
        <v>0</v>
      </c>
      <c r="O19" s="54">
        <f>'SA Oct 2020'!BD13</f>
        <v>0</v>
      </c>
      <c r="P19" s="54">
        <f>'SA Oct 2020'!BE13</f>
        <v>0</v>
      </c>
      <c r="Q19" s="110" t="str">
        <f t="shared" si="5"/>
        <v>Guaranteed off bill</v>
      </c>
      <c r="R19" s="73" t="str">
        <f t="shared" si="1"/>
        <v>Exclusive</v>
      </c>
      <c r="S19" s="111">
        <f t="shared" si="7"/>
        <v>6719.16536</v>
      </c>
      <c r="T19" s="112">
        <f t="shared" si="8"/>
        <v>6719.16536</v>
      </c>
      <c r="U19" s="97">
        <f t="shared" si="6"/>
        <v>7391.0818960000006</v>
      </c>
      <c r="V19" s="98">
        <f t="shared" si="6"/>
        <v>7391.0818960000006</v>
      </c>
      <c r="W19" s="55">
        <f>'SA Oct 2020'!BL13</f>
        <v>0</v>
      </c>
      <c r="X19" s="56" t="str">
        <f>'SA Oct 2020'!BM13</f>
        <v>n</v>
      </c>
    </row>
    <row r="20" spans="1:53" x14ac:dyDescent="0.15">
      <c r="A20" s="70" t="str">
        <f>'SA Oct 2020'!K14</f>
        <v>Blue NRG</v>
      </c>
      <c r="B20" s="49" t="str">
        <f>'SA Oct 2020'!L14</f>
        <v>Blue Saver</v>
      </c>
      <c r="C20" s="46">
        <f>IF('SA Oct 2020'!BP14=0,91*'SA Oct 2020'!M14/100,(91*'SA Oct 2020'!M14/100)+'SA Oct 2020'!BP14/4)</f>
        <v>87.045636363636348</v>
      </c>
      <c r="D20" s="46">
        <f>IF('SA Oct 2020'!O14="",$C$5*'SA Oct 2020'!N14/100,IF($C$5&gt;='SA Oct 2020'!P14,('SA Oct 2020'!P14*'SA Oct 2020'!N14/100),($C$5*'SA Oct 2020'!N14/100)))</f>
        <v>682.27272727272725</v>
      </c>
      <c r="E20" s="46">
        <f>IF(AND('SA Oct 2020'!P14&gt;0,'SA Oct 2020'!R14&gt;0),IF($C$5&lt;'SA Oct 2020'!P14,0,IF($C$5&lt;=('SA Oct 2020'!R14+'SA Oct 2020'!P14),(($C$5-'SA Oct 2020'!P14)*'SA Oct 2020'!Q14/100),(('SA Oct 2020'!R14)*'SA Oct 2020'!Q14/100))),0)</f>
        <v>697.72727272727263</v>
      </c>
      <c r="F20" s="46">
        <f>IF(AND('SA Oct 2020'!Q14&gt;0,'SA Oct 2020'!S14&gt;0),IF($C$5&lt;('SA Oct 2020'!R14+'SA Oct 2020'!P14),0,IF($C$5&lt;=('SA Oct 2020'!T14+'SA Oct 2020'!R14+'SA Oct 2020'!P14),(($C$5-('SA Oct 2020'!R14+'SA Oct 2020'!P14))*'SA Oct 2020'!S14/100),('SA Oct 2020'!T14*'SA Oct 2020'!S14/100))),0)</f>
        <v>0</v>
      </c>
      <c r="G20" s="50">
        <v>0</v>
      </c>
      <c r="H20" s="46">
        <f>IF(AND('SA Oct 2020'!R14&gt;0,'SA Oct 2020'!T14&gt;0),IF(($C$5&lt;'SA Oct 2020'!T14),(0),($C$5-'SA Oct 2020'!T14)*'SA Oct 2020'!U14/100),IF(AND('SA Oct 2020'!R14&gt;0,'SA Oct 2020'!T14=""),IF(($C$5&lt;'SA Oct 2020'!R14+'SA Oct 2020'!P14),(0),(($C$5-('SA Oct 2020'!R14+'SA Oct 2020'!P14))*'SA Oct 2020'!S14/100)),IF(AND('SA Oct 2020'!P14&gt;0,'SA Oct 2020'!R14=""&gt;0),IF(($C$5&lt;'SA Oct 2020'!P14),(0),($C$5-'SA Oct 2020'!P14)*'SA Oct 2020'!Q14/100),0)))</f>
        <v>0</v>
      </c>
      <c r="I20" s="52">
        <f t="shared" si="10"/>
        <v>1467.0456363636363</v>
      </c>
      <c r="J20" s="109">
        <f t="shared" si="3"/>
        <v>5520</v>
      </c>
      <c r="K20" s="109">
        <f t="shared" si="0"/>
        <v>5868.1825454545451</v>
      </c>
      <c r="L20" s="53">
        <f t="shared" si="4"/>
        <v>6455.0007999999998</v>
      </c>
      <c r="M20" s="54">
        <f>'SA Oct 2020'!BB14</f>
        <v>0</v>
      </c>
      <c r="N20" s="54">
        <f>'SA Oct 2020'!BC14</f>
        <v>0</v>
      </c>
      <c r="O20" s="54">
        <f>'SA Oct 2020'!BD14</f>
        <v>0</v>
      </c>
      <c r="P20" s="54">
        <f>'SA Oct 2020'!BE14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5868.1825454545451</v>
      </c>
      <c r="T20" s="112">
        <f t="shared" si="8"/>
        <v>5868.1825454545451</v>
      </c>
      <c r="U20" s="97">
        <f t="shared" si="6"/>
        <v>6455.0007999999998</v>
      </c>
      <c r="V20" s="98">
        <f t="shared" si="6"/>
        <v>6455.0007999999998</v>
      </c>
      <c r="W20" s="55">
        <f>'SA Oct 2020'!BL14</f>
        <v>0</v>
      </c>
      <c r="X20" s="56" t="str">
        <f>'SA Oct 2020'!BM14</f>
        <v>n</v>
      </c>
    </row>
    <row r="21" spans="1:53" x14ac:dyDescent="0.15">
      <c r="A21" s="70" t="str">
        <f>'SA Oct 2020'!K15</f>
        <v>Powershop</v>
      </c>
      <c r="B21" s="49" t="str">
        <f>'SA Oct 2020'!L15</f>
        <v>Shopper with Mega Pack</v>
      </c>
      <c r="C21" s="46">
        <f>IF('SA Oct 2020'!BP15=0,91*'SA Oct 2020'!M15/100,(91*'SA Oct 2020'!M15/100)+'SA Oct 2020'!BP15/4)</f>
        <v>109.82045454545454</v>
      </c>
      <c r="D21" s="46">
        <f>IF('SA Oct 2020'!O15="",$C$5*'SA Oct 2020'!N15/100,IF($C$5&gt;='SA Oct 2020'!P15,('SA Oct 2020'!P15*'SA Oct 2020'!N15/100),($C$5*'SA Oct 2020'!N15/100)))</f>
        <v>1689.5454545454545</v>
      </c>
      <c r="E21" s="46">
        <f>IF(AND('SA Oct 2020'!P15&gt;0,'SA Oct 2020'!R15&gt;0),IF($C$5&lt;'SA Oct 2020'!P15,0,IF($C$5&lt;=('SA Oct 2020'!R15+'SA Oct 2020'!P15),(($C$5-'SA Oct 2020'!P15)*'SA Oct 2020'!Q15/100),(('SA Oct 2020'!R15)*'SA Oct 2020'!Q15/100))),0)</f>
        <v>0</v>
      </c>
      <c r="F21" s="46">
        <f>IF(AND('SA Oct 2020'!Q15&gt;0,'SA Oct 2020'!S15&gt;0),IF($C$5&lt;('SA Oct 2020'!R15+'SA Oct 2020'!P15),0,IF($C$5&lt;=('SA Oct 2020'!T15+'SA Oct 2020'!R15+'SA Oct 2020'!P15),(($C$5-('SA Oct 2020'!R15+'SA Oct 2020'!P15))*'SA Oct 2020'!S15/100),('SA Oct 2020'!T15*'SA Oct 2020'!S15/100))),0)</f>
        <v>0</v>
      </c>
      <c r="G21" s="50">
        <v>0</v>
      </c>
      <c r="H21" s="46">
        <f>IF(AND('SA Oct 2020'!R15&gt;0,'SA Oct 2020'!T15&gt;0),IF(($C$5&lt;'SA Oct 2020'!T15),(0),($C$5-'SA Oct 2020'!T15)*'SA Oct 2020'!U15/100),IF(AND('SA Oct 2020'!R15&gt;0,'SA Oct 2020'!T15=""),IF(($C$5&lt;'SA Oct 2020'!R15+'SA Oct 2020'!P15),(0),(($C$5-('SA Oct 2020'!R15+'SA Oct 2020'!P15))*'SA Oct 2020'!S15/100)),IF(AND('SA Oct 2020'!P15&gt;0,'SA Oct 2020'!R15=""&gt;0),IF(($C$5&lt;'SA Oct 2020'!P15),(0),($C$5-'SA Oct 2020'!P15)*'SA Oct 2020'!Q15/100),0)))</f>
        <v>0</v>
      </c>
      <c r="I21" s="52">
        <f t="shared" si="10"/>
        <v>1799.3659090909091</v>
      </c>
      <c r="J21" s="109">
        <f t="shared" si="3"/>
        <v>6758.181818181818</v>
      </c>
      <c r="K21" s="109">
        <f t="shared" si="0"/>
        <v>7197.4636363636364</v>
      </c>
      <c r="L21" s="53">
        <f t="shared" si="4"/>
        <v>7917.2100000000009</v>
      </c>
      <c r="M21" s="54">
        <f>'SA Oct 2020'!BB15</f>
        <v>0</v>
      </c>
      <c r="N21" s="54">
        <f>'SA Oct 2020'!BC15</f>
        <v>0</v>
      </c>
      <c r="O21" s="54">
        <f>'SA Oct 2020'!BD15</f>
        <v>6</v>
      </c>
      <c r="P21" s="54">
        <f>'SA Oct 2020'!BE15</f>
        <v>0</v>
      </c>
      <c r="Q21" s="110" t="str">
        <f t="shared" si="5"/>
        <v>Pay-on-time off bill</v>
      </c>
      <c r="R21" s="73" t="str">
        <f t="shared" si="1"/>
        <v>Inclusive</v>
      </c>
      <c r="S21" s="111">
        <f t="shared" si="7"/>
        <v>7197.4636363636364</v>
      </c>
      <c r="T21" s="112">
        <f t="shared" si="8"/>
        <v>6765.6158181818182</v>
      </c>
      <c r="U21" s="97">
        <f t="shared" si="6"/>
        <v>7917.2100000000009</v>
      </c>
      <c r="V21" s="98">
        <f t="shared" si="6"/>
        <v>7442.1774000000005</v>
      </c>
      <c r="W21" s="55">
        <f>'SA Oct 2020'!BL15</f>
        <v>0</v>
      </c>
      <c r="X21" s="56" t="str">
        <f>'SA Oct 2020'!BM15</f>
        <v>n</v>
      </c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295"/>
      <c r="AN21" s="295"/>
      <c r="AO21" s="295"/>
      <c r="AP21" s="295"/>
      <c r="AQ21" s="295"/>
      <c r="AR21" s="295"/>
      <c r="AS21" s="295"/>
      <c r="AT21" s="295"/>
      <c r="AU21" s="295"/>
      <c r="AV21" s="295"/>
      <c r="AW21" s="295"/>
      <c r="AX21" s="295"/>
      <c r="AY21" s="295"/>
      <c r="AZ21" s="295"/>
      <c r="BA21" s="295"/>
    </row>
    <row r="22" spans="1:53" x14ac:dyDescent="0.15">
      <c r="A22" s="70" t="str">
        <f>'SA Oct 2020'!K16</f>
        <v>Powerclub</v>
      </c>
      <c r="B22" s="49" t="str">
        <f>'SA Oct 2020'!L16</f>
        <v>Bis Flat</v>
      </c>
      <c r="C22" s="46">
        <f>IF('SA Oct 2020'!BP16=0,91*'SA Oct 2020'!M16/100,(91*'SA Oct 2020'!M16/100)+'SA Oct 2020'!BP16/4)</f>
        <v>93.505181818181825</v>
      </c>
      <c r="D22" s="46">
        <f>IF('SA Oct 2020'!O16="",$C$5*'SA Oct 2020'!N16/100,IF($C$5&gt;='SA Oct 2020'!P16,('SA Oct 2020'!P16*'SA Oct 2020'!N16/100),($C$5*'SA Oct 2020'!N16/100)))</f>
        <v>1263.6363636363635</v>
      </c>
      <c r="E22" s="46">
        <f>IF(AND('SA Oct 2020'!P16&gt;0,'SA Oct 2020'!R16&gt;0),IF($C$5&lt;'SA Oct 2020'!P16,0,IF($C$5&lt;=('SA Oct 2020'!R16+'SA Oct 2020'!P16),(($C$5-'SA Oct 2020'!P16)*'SA Oct 2020'!Q16/100),(('SA Oct 2020'!R16)*'SA Oct 2020'!Q16/100))),0)</f>
        <v>0</v>
      </c>
      <c r="F22" s="46">
        <f>IF(AND('SA Oct 2020'!Q16&gt;0,'SA Oct 2020'!S16&gt;0),IF($C$5&lt;('SA Oct 2020'!R16+'SA Oct 2020'!P16),0,IF($C$5&lt;=('SA Oct 2020'!T16+'SA Oct 2020'!R16+'SA Oct 2020'!P16),(($C$5-('SA Oct 2020'!R16+'SA Oct 2020'!P16))*'SA Oct 2020'!S16/100),('SA Oct 2020'!T16*'SA Oct 2020'!S16/100))),0)</f>
        <v>0</v>
      </c>
      <c r="G22" s="50">
        <v>0</v>
      </c>
      <c r="H22" s="46">
        <f>IF(AND('SA Oct 2020'!R16&gt;0,'SA Oct 2020'!T16&gt;0),IF(($C$5&lt;'SA Oct 2020'!T16),(0),($C$5-'SA Oct 2020'!T16)*'SA Oct 2020'!U16/100),IF(AND('SA Oct 2020'!R16&gt;0,'SA Oct 2020'!T16=""),IF(($C$5&lt;'SA Oct 2020'!R16+'SA Oct 2020'!P16),(0),(($C$5-('SA Oct 2020'!R16+'SA Oct 2020'!P16))*'SA Oct 2020'!S16/100)),IF(AND('SA Oct 2020'!P16&gt;0,'SA Oct 2020'!R16=""&gt;0),IF(($C$5&lt;'SA Oct 2020'!P16),(0),($C$5-'SA Oct 2020'!P16)*'SA Oct 2020'!Q16/100),0)))</f>
        <v>0</v>
      </c>
      <c r="I22" s="52">
        <f t="shared" si="10"/>
        <v>1357.1415454545454</v>
      </c>
      <c r="J22" s="109">
        <f t="shared" si="3"/>
        <v>5054.545454545454</v>
      </c>
      <c r="K22" s="109">
        <f t="shared" si="0"/>
        <v>5428.5661818181816</v>
      </c>
      <c r="L22" s="53">
        <f t="shared" si="4"/>
        <v>5971.4228000000003</v>
      </c>
      <c r="M22" s="54">
        <f>'SA Oct 2020'!BB16</f>
        <v>0</v>
      </c>
      <c r="N22" s="54">
        <f>'SA Oct 2020'!BC16</f>
        <v>0</v>
      </c>
      <c r="O22" s="54">
        <f>'SA Oct 2020'!BD16</f>
        <v>0</v>
      </c>
      <c r="P22" s="54">
        <f>'SA Oct 2020'!BE16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5428.5661818181816</v>
      </c>
      <c r="T22" s="112">
        <f t="shared" si="8"/>
        <v>5428.5661818181816</v>
      </c>
      <c r="U22" s="97">
        <f t="shared" si="6"/>
        <v>5971.4228000000003</v>
      </c>
      <c r="V22" s="98">
        <f t="shared" si="6"/>
        <v>5971.4228000000003</v>
      </c>
      <c r="W22" s="55">
        <f>'SA Oct 2020'!BL16</f>
        <v>0</v>
      </c>
      <c r="X22" s="56">
        <f>'SA Oct 2020'!BM16</f>
        <v>0</v>
      </c>
      <c r="Y22" s="295"/>
      <c r="Z22" s="295"/>
      <c r="AA22" s="295"/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5"/>
      <c r="AU22" s="295"/>
      <c r="AV22" s="295"/>
      <c r="AW22" s="295"/>
      <c r="AX22" s="295"/>
      <c r="AY22" s="295"/>
      <c r="AZ22" s="295"/>
      <c r="BA22" s="295"/>
    </row>
    <row r="23" spans="1:53" x14ac:dyDescent="0.15">
      <c r="A23" s="70" t="str">
        <f>'SA Oct 2020'!K17</f>
        <v>Energy Locals</v>
      </c>
      <c r="B23" s="73" t="str">
        <f>'SA Oct 2020'!L17</f>
        <v>Business Member</v>
      </c>
      <c r="C23" s="46">
        <f>IF('SA Oct 2020'!BP17=0,91*'SA Oct 2020'!M17/100,(91*'SA Oct 2020'!M17/100)+'SA Oct 2020'!BP17/4)</f>
        <v>113.26281818181815</v>
      </c>
      <c r="D23" s="46">
        <f>IF('SA Oct 2020'!O17="",$C$5*'SA Oct 2020'!N17/100,IF($C$5&gt;='SA Oct 2020'!P17,('SA Oct 2020'!P17*'SA Oct 2020'!N17/100),($C$5*'SA Oct 2020'!N17/100)))</f>
        <v>1318.181818181818</v>
      </c>
      <c r="E23" s="46">
        <f>IF(AND('SA Oct 2020'!P17&gt;0,'SA Oct 2020'!R17&gt;0),IF($C$5&lt;'SA Oct 2020'!P17,0,IF($C$5&lt;=('SA Oct 2020'!R17+'SA Oct 2020'!P17),(($C$5-'SA Oct 2020'!P17)*'SA Oct 2020'!Q17/100),(('SA Oct 2020'!R17)*'SA Oct 2020'!Q17/100))),0)</f>
        <v>0</v>
      </c>
      <c r="F23" s="46">
        <f>IF(AND('SA Oct 2020'!Q17&gt;0,'SA Oct 2020'!S17&gt;0),IF($C$5&lt;('SA Oct 2020'!R17+'SA Oct 2020'!P17),0,IF($C$5&lt;=('SA Oct 2020'!T17+'SA Oct 2020'!R17+'SA Oct 2020'!P17),(($C$5-('SA Oct 2020'!R17+'SA Oct 2020'!P17))*'SA Oct 2020'!S17/100),('SA Oct 2020'!T17*'SA Oct 2020'!S17/100))),0)</f>
        <v>0</v>
      </c>
      <c r="G23" s="50">
        <v>0</v>
      </c>
      <c r="H23" s="46">
        <f>IF(AND('SA Oct 2020'!R17&gt;0,'SA Oct 2020'!T17&gt;0),IF(($C$5&lt;'SA Oct 2020'!T17),(0),($C$5-'SA Oct 2020'!T17)*'SA Oct 2020'!U17/100),IF(AND('SA Oct 2020'!R17&gt;0,'SA Oct 2020'!T17=""),IF(($C$5&lt;'SA Oct 2020'!R17+'SA Oct 2020'!P17),(0),(($C$5-('SA Oct 2020'!R17+'SA Oct 2020'!P17))*'SA Oct 2020'!S17/100)),IF(AND('SA Oct 2020'!P17&gt;0,'SA Oct 2020'!R17=""&gt;0),IF(($C$5&lt;'SA Oct 2020'!P17),(0),($C$5-'SA Oct 2020'!P17)*'SA Oct 2020'!Q17/100),0)))</f>
        <v>0</v>
      </c>
      <c r="I23" s="52">
        <f t="shared" si="10"/>
        <v>1431.4446363636362</v>
      </c>
      <c r="J23" s="111">
        <f t="shared" si="3"/>
        <v>5272.7272727272721</v>
      </c>
      <c r="K23" s="112">
        <f t="shared" si="0"/>
        <v>5725.7785454545447</v>
      </c>
      <c r="L23" s="53">
        <f t="shared" si="4"/>
        <v>6298.3563999999997</v>
      </c>
      <c r="M23" s="54">
        <f>'SA Oct 2020'!BB17</f>
        <v>0</v>
      </c>
      <c r="N23" s="54">
        <f>'SA Oct 2020'!BC17</f>
        <v>0</v>
      </c>
      <c r="O23" s="54">
        <f>'SA Oct 2020'!BD17</f>
        <v>0</v>
      </c>
      <c r="P23" s="54">
        <f>'SA Oct 2020'!BE17</f>
        <v>0</v>
      </c>
      <c r="Q23" s="110" t="str">
        <f t="shared" si="5"/>
        <v>No discount</v>
      </c>
      <c r="R23" s="73" t="str">
        <f t="shared" si="1"/>
        <v>Exclusive</v>
      </c>
      <c r="S23" s="111">
        <f t="shared" si="7"/>
        <v>5725.7785454545447</v>
      </c>
      <c r="T23" s="112">
        <f t="shared" si="8"/>
        <v>5725.7785454545447</v>
      </c>
      <c r="U23" s="97">
        <f t="shared" si="6"/>
        <v>6298.3563999999997</v>
      </c>
      <c r="V23" s="98">
        <f t="shared" si="6"/>
        <v>6298.3563999999997</v>
      </c>
      <c r="W23" s="55">
        <f>'SA Oct 2020'!BL17</f>
        <v>0</v>
      </c>
      <c r="X23" s="56" t="str">
        <f>'SA Oct 2020'!BM17</f>
        <v>n</v>
      </c>
      <c r="Y23" s="295"/>
      <c r="Z23" s="295"/>
      <c r="AA23" s="295"/>
      <c r="AB23" s="295"/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  <c r="AM23" s="295"/>
      <c r="AN23" s="295"/>
      <c r="AO23" s="295"/>
      <c r="AP23" s="295"/>
      <c r="AQ23" s="295"/>
      <c r="AR23" s="295"/>
      <c r="AS23" s="295"/>
      <c r="AT23" s="295"/>
      <c r="AU23" s="295"/>
      <c r="AV23" s="295"/>
      <c r="AW23" s="295"/>
      <c r="AX23" s="295"/>
      <c r="AY23" s="295"/>
      <c r="AZ23" s="295"/>
      <c r="BA23" s="295"/>
    </row>
    <row r="24" spans="1:53" x14ac:dyDescent="0.15">
      <c r="A24" s="70" t="str">
        <f>'SA Oct 2020'!K18</f>
        <v>Future X Power</v>
      </c>
      <c r="B24" s="73" t="str">
        <f>'SA Oct 2020'!L18</f>
        <v>Business Smart</v>
      </c>
      <c r="C24" s="46">
        <f>IF('SA Oct 2020'!BP18=0,91*'SA Oct 2020'!M18/100,(91*'SA Oct 2020'!M18/100)+'SA Oct 2020'!BP18/4)</f>
        <v>78.077999999999989</v>
      </c>
      <c r="D24" s="46">
        <f>IF('SA Oct 2020'!O18="",$C$5*'SA Oct 2020'!N18/100,IF($C$5&gt;='SA Oct 2020'!P18,('SA Oct 2020'!P18*'SA Oct 2020'!N18/100),($C$5*'SA Oct 2020'!N18/100)))</f>
        <v>1520.909090909091</v>
      </c>
      <c r="E24" s="46">
        <f>IF(AND('SA Oct 2020'!P18&gt;0,'SA Oct 2020'!R18&gt;0),IF($C$5&lt;'SA Oct 2020'!P18,0,IF($C$5&lt;=('SA Oct 2020'!R18+'SA Oct 2020'!P18),(($C$5-'SA Oct 2020'!P18)*'SA Oct 2020'!Q18/100),(('SA Oct 2020'!R18)*'SA Oct 2020'!Q18/100))),0)</f>
        <v>0</v>
      </c>
      <c r="F24" s="46">
        <f>IF(AND('SA Oct 2020'!Q18&gt;0,'SA Oct 2020'!S18&gt;0),IF($C$5&lt;('SA Oct 2020'!R18+'SA Oct 2020'!P18),0,IF($C$5&lt;=('SA Oct 2020'!T18+'SA Oct 2020'!R18+'SA Oct 2020'!P18),(($C$5-('SA Oct 2020'!R18+'SA Oct 2020'!P18))*'SA Oct 2020'!S18/100),('SA Oct 2020'!T18*'SA Oct 2020'!S18/100))),0)</f>
        <v>0</v>
      </c>
      <c r="G24" s="50">
        <v>0</v>
      </c>
      <c r="H24" s="46">
        <f>IF(AND('SA Oct 2020'!R18&gt;0,'SA Oct 2020'!T18&gt;0),IF(($C$5&lt;'SA Oct 2020'!T18),(0),($C$5-'SA Oct 2020'!T18)*'SA Oct 2020'!U18/100),IF(AND('SA Oct 2020'!R18&gt;0,'SA Oct 2020'!T18=""),IF(($C$5&lt;'SA Oct 2020'!R18+'SA Oct 2020'!P18),(0),(($C$5-('SA Oct 2020'!R18+'SA Oct 2020'!P18))*'SA Oct 2020'!S18/100)),IF(AND('SA Oct 2020'!P18&gt;0,'SA Oct 2020'!R18=""&gt;0),IF(($C$5&lt;'SA Oct 2020'!P18),(0),($C$5-'SA Oct 2020'!P18)*'SA Oct 2020'!Q18/100),0)))</f>
        <v>0</v>
      </c>
      <c r="I24" s="52">
        <f t="shared" si="10"/>
        <v>1598.987090909091</v>
      </c>
      <c r="J24" s="111">
        <f t="shared" si="3"/>
        <v>6083.636363636364</v>
      </c>
      <c r="K24" s="112">
        <f t="shared" si="0"/>
        <v>6395.9483636363639</v>
      </c>
      <c r="L24" s="53">
        <f t="shared" si="4"/>
        <v>7035.543200000001</v>
      </c>
      <c r="M24" s="54">
        <f>'SA Oct 2020'!BB18</f>
        <v>0</v>
      </c>
      <c r="N24" s="54">
        <f>'SA Oct 2020'!BC18</f>
        <v>0</v>
      </c>
      <c r="O24" s="54">
        <f>'SA Oct 2020'!BD18</f>
        <v>0</v>
      </c>
      <c r="P24" s="54">
        <f>'SA Oct 2020'!BE18</f>
        <v>0</v>
      </c>
      <c r="Q24" s="110" t="str">
        <f t="shared" si="5"/>
        <v>No discount</v>
      </c>
      <c r="R24" s="73" t="str">
        <f t="shared" si="1"/>
        <v>Exclusive</v>
      </c>
      <c r="S24" s="111">
        <f t="shared" si="7"/>
        <v>6395.9483636363639</v>
      </c>
      <c r="T24" s="112">
        <f t="shared" si="8"/>
        <v>6395.9483636363639</v>
      </c>
      <c r="U24" s="97">
        <f t="shared" si="6"/>
        <v>7035.543200000001</v>
      </c>
      <c r="V24" s="98">
        <f t="shared" si="6"/>
        <v>7035.543200000001</v>
      </c>
      <c r="W24" s="55">
        <f>'SA Oct 2020'!BL18</f>
        <v>0</v>
      </c>
      <c r="X24" s="56" t="str">
        <f>'SA Oct 2020'!BM18</f>
        <v>n</v>
      </c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</row>
    <row r="25" spans="1:53" x14ac:dyDescent="0.15">
      <c r="A25" s="70" t="str">
        <f>'SA Oct 2020'!K19</f>
        <v>Discover Energy</v>
      </c>
      <c r="B25" s="73" t="str">
        <f>'SA Oct 2020'!L19</f>
        <v>Business Smart Saver</v>
      </c>
      <c r="C25" s="46">
        <f>IF('SA Oct 2020'!BP19=0,91*'SA Oct 2020'!M19/100,(91*'SA Oct 2020'!M19/100)+'SA Oct 2020'!BP19/4)</f>
        <v>68.25</v>
      </c>
      <c r="D25" s="46">
        <f>IF('SA Oct 2020'!O19="",$C$5*'SA Oct 2020'!N19/100,IF($C$5&gt;='SA Oct 2020'!P19,('SA Oct 2020'!P19*'SA Oct 2020'!N19/100),($C$5*'SA Oct 2020'!N19/100)))</f>
        <v>1819.090909090909</v>
      </c>
      <c r="E25" s="46">
        <f>IF(AND('SA Oct 2020'!P19&gt;0,'SA Oct 2020'!R19&gt;0),IF($C$5&lt;'SA Oct 2020'!P19,0,IF($C$5&lt;=('SA Oct 2020'!R19+'SA Oct 2020'!P19),(($C$5-'SA Oct 2020'!P19)*'SA Oct 2020'!Q19/100),(('SA Oct 2020'!R19)*'SA Oct 2020'!Q19/100))),0)</f>
        <v>0</v>
      </c>
      <c r="F25" s="46">
        <f>IF(AND('SA Oct 2020'!Q19&gt;0,'SA Oct 2020'!S19&gt;0),IF($C$5&lt;('SA Oct 2020'!R19+'SA Oct 2020'!P19),0,IF($C$5&lt;=('SA Oct 2020'!T19+'SA Oct 2020'!R19+'SA Oct 2020'!P19),(($C$5-('SA Oct 2020'!R19+'SA Oct 2020'!P19))*'SA Oct 2020'!S19/100),('SA Oct 2020'!T19*'SA Oct 2020'!S19/100))),0)</f>
        <v>0</v>
      </c>
      <c r="G25" s="50">
        <v>0</v>
      </c>
      <c r="H25" s="46">
        <f>IF(AND('SA Oct 2020'!R19&gt;0,'SA Oct 2020'!T19&gt;0),IF(($C$5&lt;'SA Oct 2020'!T19),(0),($C$5-'SA Oct 2020'!T19)*'SA Oct 2020'!U19/100),IF(AND('SA Oct 2020'!R19&gt;0,'SA Oct 2020'!T19=""),IF(($C$5&lt;'SA Oct 2020'!R19+'SA Oct 2020'!P19),(0),(($C$5-('SA Oct 2020'!R19+'SA Oct 2020'!P19))*'SA Oct 2020'!S19/100)),IF(AND('SA Oct 2020'!P19&gt;0,'SA Oct 2020'!R19=""&gt;0),IF(($C$5&lt;'SA Oct 2020'!P19),(0),($C$5-'SA Oct 2020'!P19)*'SA Oct 2020'!Q19/100),0)))</f>
        <v>0</v>
      </c>
      <c r="I25" s="52">
        <f t="shared" ref="I25" si="11">SUM(C25:H25)</f>
        <v>1887.340909090909</v>
      </c>
      <c r="J25" s="111">
        <f t="shared" ref="J25" si="12">(I25-C25)*4</f>
        <v>7276.363636363636</v>
      </c>
      <c r="K25" s="112">
        <f t="shared" ref="K25" si="13">I25*4</f>
        <v>7549.363636363636</v>
      </c>
      <c r="L25" s="53">
        <f t="shared" ref="L25" si="14">K25*1.1</f>
        <v>8304.3000000000011</v>
      </c>
      <c r="M25" s="54">
        <f>'SA Oct 2020'!BB19</f>
        <v>0</v>
      </c>
      <c r="N25" s="54">
        <f>'SA Oct 2020'!BC19</f>
        <v>15</v>
      </c>
      <c r="O25" s="54">
        <f>'SA Oct 2020'!BD19</f>
        <v>0</v>
      </c>
      <c r="P25" s="54">
        <f>'SA Oct 2020'!BE19</f>
        <v>0</v>
      </c>
      <c r="Q25" s="110" t="str">
        <f t="shared" ref="Q25" si="15">IF(SUM(M25:P25)=0,"No discount",IF(M25&gt;0,"Guaranteed off bill",IF(N25&gt;0,"Guaranteed off usage",IF(O25&gt;0,"Pay-on-time off bill","Pay-on-time off usage"))))</f>
        <v>Guaranteed off usage</v>
      </c>
      <c r="R25" s="73" t="str">
        <f t="shared" ref="R25" si="16">IF(OR(A25="Origin Energy",A25="Red Energy",A25="Powershop"),"Inclusive","Exclusive")</f>
        <v>Exclusive</v>
      </c>
      <c r="S25" s="111">
        <f t="shared" ref="S25" si="17">IF(AND(Q25="Guaranteed off bill",R25="Inclusive"),((K25*1.1)-((K25*1.1)*M25/100))/1.1,IF(AND(Q25="Guaranteed off usage",R25="Inclusive"),((K25*1.1)-((J25*1.1)*N25/100))/1.1,IF(AND(Q25="Guaranteed off bill",R25="Exclusive"),K25-(K25*M25/100),IF(AND(Q25="Guaranteed off usage",R25="Exclusive"),K25-(J25*N25/100),IF(R25="Inclusive",((K25*1.1))/1.1,K25)))))</f>
        <v>6457.9090909090901</v>
      </c>
      <c r="T25" s="112">
        <f t="shared" ref="T25" si="18">IF(AND(Q25="Pay-on-time off bill",R25="Inclusive"),((S25*1.1)-((S25*1.1)*O25/100))/1.1,IF(AND(Q25="Pay-on-time off usage",R25="Inclusive"),((S25*1.1)-((J25*1.1)*P25/100))/1.1,IF(AND(Q25="Pay-on-time off bill",R25="Exclusive"),S25-(S25*O25/100),IF(AND(Q25="Pay-on-time off usage",R25="Exclusive"),S25-(J25*P25/100),IF(R25="Inclusive",((S25*1.1))/1.1,S25)))))</f>
        <v>6457.9090909090901</v>
      </c>
      <c r="U25" s="97">
        <f t="shared" ref="U25" si="19">S25*1.1</f>
        <v>7103.7</v>
      </c>
      <c r="V25" s="98">
        <f t="shared" ref="V25" si="20">T25*1.1</f>
        <v>7103.7</v>
      </c>
      <c r="W25" s="55">
        <f>'SA Oct 2020'!BL19</f>
        <v>0</v>
      </c>
      <c r="X25" s="56" t="str">
        <f>'SA Oct 2020'!BM19</f>
        <v>n</v>
      </c>
      <c r="Y25" s="295"/>
      <c r="Z25" s="295"/>
      <c r="AA25" s="295"/>
      <c r="AB25" s="295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295"/>
      <c r="AN25" s="295"/>
      <c r="AO25" s="295"/>
      <c r="AP25" s="295"/>
      <c r="AQ25" s="295"/>
      <c r="AR25" s="295"/>
      <c r="AS25" s="295"/>
      <c r="AT25" s="295"/>
      <c r="AU25" s="295"/>
      <c r="AV25" s="295"/>
      <c r="AW25" s="295"/>
      <c r="AX25" s="295"/>
      <c r="AY25" s="295"/>
      <c r="AZ25" s="295"/>
      <c r="BA25" s="295"/>
    </row>
    <row r="26" spans="1:53" x14ac:dyDescent="0.15">
      <c r="A26" s="70" t="str">
        <f>'SA Oct 2020'!K20</f>
        <v>Next Business Energy</v>
      </c>
      <c r="B26" s="73" t="str">
        <f>'SA Oct 2020'!L20</f>
        <v>Assured</v>
      </c>
      <c r="C26" s="46">
        <f>IF('SA Oct 2020'!BP20=0,91*'SA Oct 2020'!M20/100,(91*'SA Oct 2020'!M20/100)+'SA Oct 2020'!BP20/4)</f>
        <v>78.168999999999997</v>
      </c>
      <c r="D26" s="46">
        <f>IF('SA Oct 2020'!O20="",$C$5*'SA Oct 2020'!N20/100,IF($C$5&gt;='SA Oct 2020'!P20,('SA Oct 2020'!P20*'SA Oct 2020'!N20/100),($C$5*'SA Oct 2020'!N20/100)))</f>
        <v>1350</v>
      </c>
      <c r="E26" s="46">
        <f>IF(AND('SA Oct 2020'!P20&gt;0,'SA Oct 2020'!R20&gt;0),IF($C$5&lt;'SA Oct 2020'!P20,0,IF($C$5&lt;=('SA Oct 2020'!R20+'SA Oct 2020'!P20),(($C$5-'SA Oct 2020'!P20)*'SA Oct 2020'!Q20/100),(('SA Oct 2020'!R20)*'SA Oct 2020'!Q20/100))),0)</f>
        <v>0</v>
      </c>
      <c r="F26" s="46">
        <f>IF(AND('SA Oct 2020'!Q20&gt;0,'SA Oct 2020'!S20&gt;0),IF($C$5&lt;('SA Oct 2020'!R20+'SA Oct 2020'!P20),0,IF($C$5&lt;=('SA Oct 2020'!T20+'SA Oct 2020'!R20+'SA Oct 2020'!P20),(($C$5-('SA Oct 2020'!R20+'SA Oct 2020'!P20))*'SA Oct 2020'!S20/100),('SA Oct 2020'!T20*'SA Oct 2020'!S20/100))),0)</f>
        <v>0</v>
      </c>
      <c r="G26" s="50">
        <v>0</v>
      </c>
      <c r="H26" s="46">
        <f>IF(AND('SA Oct 2020'!R20&gt;0,'SA Oct 2020'!T20&gt;0),IF(($C$5&lt;'SA Oct 2020'!T20),(0),($C$5-'SA Oct 2020'!T20)*'SA Oct 2020'!U20/100),IF(AND('SA Oct 2020'!R20&gt;0,'SA Oct 2020'!T20=""),IF(($C$5&lt;'SA Oct 2020'!R20+'SA Oct 2020'!P20),(0),(($C$5-('SA Oct 2020'!R20+'SA Oct 2020'!P20))*'SA Oct 2020'!S20/100)),IF(AND('SA Oct 2020'!P20&gt;0,'SA Oct 2020'!R20=""&gt;0),IF(($C$5&lt;'SA Oct 2020'!P20),(0),($C$5-'SA Oct 2020'!P20)*'SA Oct 2020'!Q20/100),0)))</f>
        <v>0</v>
      </c>
      <c r="I26" s="52">
        <f t="shared" ref="I26" si="21">SUM(C26:H26)</f>
        <v>1428.1690000000001</v>
      </c>
      <c r="J26" s="111">
        <f t="shared" ref="J26" si="22">(I26-C26)*4</f>
        <v>5400</v>
      </c>
      <c r="K26" s="112">
        <f t="shared" ref="K26" si="23">I26*4</f>
        <v>5712.6760000000004</v>
      </c>
      <c r="L26" s="53">
        <f t="shared" ref="L26" si="24">K26*1.1</f>
        <v>6283.9436000000005</v>
      </c>
      <c r="M26" s="54">
        <f>'SA Oct 2020'!BB20</f>
        <v>0</v>
      </c>
      <c r="N26" s="54">
        <f>'SA Oct 2020'!BC20</f>
        <v>0</v>
      </c>
      <c r="O26" s="54">
        <f>'SA Oct 2020'!BD20</f>
        <v>0</v>
      </c>
      <c r="P26" s="54">
        <f>'SA Oct 2020'!BE20</f>
        <v>0</v>
      </c>
      <c r="Q26" s="110" t="str">
        <f t="shared" ref="Q26" si="25">IF(SUM(M26:P26)=0,"No discount",IF(M26&gt;0,"Guaranteed off bill",IF(N26&gt;0,"Guaranteed off usage",IF(O26&gt;0,"Pay-on-time off bill","Pay-on-time off usage"))))</f>
        <v>No discount</v>
      </c>
      <c r="R26" s="73" t="str">
        <f t="shared" ref="R26" si="26">IF(OR(A26="Origin Energy",A26="Red Energy",A26="Powershop"),"Inclusive","Exclusive")</f>
        <v>Exclusive</v>
      </c>
      <c r="S26" s="111">
        <f t="shared" ref="S26" si="27">IF(AND(Q26="Guaranteed off bill",R26="Inclusive"),((K26*1.1)-((K26*1.1)*M26/100))/1.1,IF(AND(Q26="Guaranteed off usage",R26="Inclusive"),((K26*1.1)-((J26*1.1)*N26/100))/1.1,IF(AND(Q26="Guaranteed off bill",R26="Exclusive"),K26-(K26*M26/100),IF(AND(Q26="Guaranteed off usage",R26="Exclusive"),K26-(J26*N26/100),IF(R26="Inclusive",((K26*1.1))/1.1,K26)))))</f>
        <v>5712.6760000000004</v>
      </c>
      <c r="T26" s="112">
        <f t="shared" ref="T26" si="28">IF(AND(Q26="Pay-on-time off bill",R26="Inclusive"),((S26*1.1)-((S26*1.1)*O26/100))/1.1,IF(AND(Q26="Pay-on-time off usage",R26="Inclusive"),((S26*1.1)-((J26*1.1)*P26/100))/1.1,IF(AND(Q26="Pay-on-time off bill",R26="Exclusive"),S26-(S26*O26/100),IF(AND(Q26="Pay-on-time off usage",R26="Exclusive"),S26-(J26*P26/100),IF(R26="Inclusive",((S26*1.1))/1.1,S26)))))</f>
        <v>5712.6760000000004</v>
      </c>
      <c r="U26" s="97">
        <f t="shared" ref="U26" si="29">S26*1.1</f>
        <v>6283.9436000000005</v>
      </c>
      <c r="V26" s="98">
        <f t="shared" ref="V26" si="30">T26*1.1</f>
        <v>6283.9436000000005</v>
      </c>
      <c r="W26" s="55">
        <f>'SA Oct 2020'!BL20</f>
        <v>0</v>
      </c>
      <c r="X26" s="56" t="str">
        <f>'SA Oct 2020'!BM20</f>
        <v>n</v>
      </c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295"/>
      <c r="AN26" s="295"/>
      <c r="AO26" s="295"/>
      <c r="AP26" s="295"/>
      <c r="AQ26" s="295"/>
      <c r="AR26" s="295"/>
      <c r="AS26" s="295"/>
      <c r="AT26" s="295"/>
      <c r="AU26" s="295"/>
      <c r="AV26" s="295"/>
      <c r="AW26" s="295"/>
      <c r="AX26" s="295"/>
      <c r="AY26" s="295"/>
      <c r="AZ26" s="295"/>
      <c r="BA26" s="295"/>
    </row>
    <row r="27" spans="1:53" x14ac:dyDescent="0.15">
      <c r="A27" s="70" t="str">
        <f>'SA Oct 2020'!K21</f>
        <v>QEnergy</v>
      </c>
      <c r="B27" s="73" t="str">
        <f>'SA Oct 2020'!L21</f>
        <v>Biz your Way</v>
      </c>
      <c r="C27" s="46">
        <f>IF('SA Oct 2020'!BP21=0,91*'SA Oct 2020'!M21/100,(91*'SA Oct 2020'!M21/100)+'SA Oct 2020'!BP21/4)</f>
        <v>97.014272727272711</v>
      </c>
      <c r="D27" s="46">
        <f>IF('SA Oct 2020'!O21="",$C$5*'SA Oct 2020'!N21/100,IF($C$5&gt;='SA Oct 2020'!P21,('SA Oct 2020'!P21*'SA Oct 2020'!N21/100),($C$5*'SA Oct 2020'!N21/100)))</f>
        <v>1790</v>
      </c>
      <c r="E27" s="46">
        <f>IF(AND('SA Oct 2020'!P21&gt;0,'SA Oct 2020'!R21&gt;0),IF($C$5&lt;'SA Oct 2020'!P21,0,IF($C$5&lt;=('SA Oct 2020'!R21+'SA Oct 2020'!P21),(($C$5-'SA Oct 2020'!P21)*'SA Oct 2020'!Q21/100),(('SA Oct 2020'!R21)*'SA Oct 2020'!Q21/100))),0)</f>
        <v>0</v>
      </c>
      <c r="F27" s="46">
        <f>IF(AND('SA Oct 2020'!Q21&gt;0,'SA Oct 2020'!S21&gt;0),IF($C$5&lt;('SA Oct 2020'!R21+'SA Oct 2020'!P21),0,IF($C$5&lt;=('SA Oct 2020'!T21+'SA Oct 2020'!R21+'SA Oct 2020'!P21),(($C$5-('SA Oct 2020'!R21+'SA Oct 2020'!P21))*'SA Oct 2020'!S21/100),('SA Oct 2020'!T21*'SA Oct 2020'!S21/100))),0)</f>
        <v>0</v>
      </c>
      <c r="G27" s="50">
        <v>0</v>
      </c>
      <c r="H27" s="46">
        <f>IF(AND('SA Oct 2020'!R21&gt;0,'SA Oct 2020'!T21&gt;0),IF(($C$5&lt;'SA Oct 2020'!T21),(0),($C$5-'SA Oct 2020'!T21)*'SA Oct 2020'!U21/100),IF(AND('SA Oct 2020'!R21&gt;0,'SA Oct 2020'!T21=""),IF(($C$5&lt;'SA Oct 2020'!R21+'SA Oct 2020'!P21),(0),(($C$5-('SA Oct 2020'!R21+'SA Oct 2020'!P21))*'SA Oct 2020'!S21/100)),IF(AND('SA Oct 2020'!P21&gt;0,'SA Oct 2020'!R21=""&gt;0),IF(($C$5&lt;'SA Oct 2020'!P21),(0),($C$5-'SA Oct 2020'!P21)*'SA Oct 2020'!Q21/100),0)))</f>
        <v>0</v>
      </c>
      <c r="I27" s="52">
        <f t="shared" ref="I27" si="31">SUM(C27:H27)</f>
        <v>1887.0142727272728</v>
      </c>
      <c r="J27" s="111">
        <f t="shared" ref="J27" si="32">(I27-C27)*4</f>
        <v>7160</v>
      </c>
      <c r="K27" s="112">
        <f t="shared" ref="K27" si="33">I27*4</f>
        <v>7548.0570909090911</v>
      </c>
      <c r="L27" s="53">
        <f t="shared" ref="L27" si="34">K27*1.1</f>
        <v>8302.8628000000008</v>
      </c>
      <c r="M27" s="54">
        <f>'SA Oct 2020'!BB21</f>
        <v>0</v>
      </c>
      <c r="N27" s="54">
        <f>'SA Oct 2020'!BC21</f>
        <v>0</v>
      </c>
      <c r="O27" s="54">
        <f>'SA Oct 2020'!BD21</f>
        <v>0</v>
      </c>
      <c r="P27" s="54">
        <f>'SA Oct 2020'!BE21</f>
        <v>0</v>
      </c>
      <c r="Q27" s="110" t="str">
        <f t="shared" ref="Q27" si="35">IF(SUM(M27:P27)=0,"No discount",IF(M27&gt;0,"Guaranteed off bill",IF(N27&gt;0,"Guaranteed off usage",IF(O27&gt;0,"Pay-on-time off bill","Pay-on-time off usage"))))</f>
        <v>No discount</v>
      </c>
      <c r="R27" s="73" t="str">
        <f t="shared" ref="R27" si="36">IF(OR(A27="Origin Energy",A27="Red Energy",A27="Powershop"),"Inclusive","Exclusive")</f>
        <v>Exclusive</v>
      </c>
      <c r="S27" s="111">
        <f t="shared" ref="S27" si="37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7548.0570909090911</v>
      </c>
      <c r="T27" s="112">
        <f t="shared" ref="T27" si="38">IF(AND(Q27="Pay-on-time off bill",R27="Inclusive"),((S27*1.1)-((S27*1.1)*O27/100))/1.1,IF(AND(Q27="Pay-on-time off usage",R27="Inclusive"),((S27*1.1)-((J27*1.1)*P27/100))/1.1,IF(AND(Q27="Pay-on-time off bill",R27="Exclusive"),S27-(S27*O27/100),IF(AND(Q27="Pay-on-time off usage",R27="Exclusive"),S27-(J27*P27/100),IF(R27="Inclusive",((S27*1.1))/1.1,S27)))))</f>
        <v>7548.0570909090911</v>
      </c>
      <c r="U27" s="97">
        <f t="shared" ref="U27" si="39">S27*1.1</f>
        <v>8302.8628000000008</v>
      </c>
      <c r="V27" s="98">
        <f t="shared" ref="V27" si="40">T27*1.1</f>
        <v>8302.8628000000008</v>
      </c>
      <c r="W27" s="55">
        <f>'SA Oct 2020'!BL21</f>
        <v>0</v>
      </c>
      <c r="X27" s="56" t="str">
        <f>'SA Oct 2020'!BM21</f>
        <v>n</v>
      </c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295"/>
      <c r="AN27" s="295"/>
      <c r="AO27" s="295"/>
      <c r="AP27" s="295"/>
      <c r="AQ27" s="295"/>
      <c r="AR27" s="295"/>
      <c r="AS27" s="295"/>
      <c r="AT27" s="295"/>
      <c r="AU27" s="295"/>
      <c r="AV27" s="295"/>
      <c r="AW27" s="295"/>
      <c r="AX27" s="295"/>
      <c r="AY27" s="295"/>
      <c r="AZ27" s="295"/>
      <c r="BA27" s="295"/>
    </row>
    <row r="28" spans="1:53" ht="15" thickBot="1" x14ac:dyDescent="0.2">
      <c r="A28" s="71" t="str">
        <f>'SA Oct 2020'!K22</f>
        <v>ReAmped Energy</v>
      </c>
      <c r="B28" s="72" t="str">
        <f>'SA Oct 2020'!L22</f>
        <v>ReAmped Business</v>
      </c>
      <c r="C28" s="58">
        <f>IF('SA Oct 2020'!BP22=0,91*'SA Oct 2020'!M22/100,(91*'SA Oct 2020'!M22/100)+'SA Oct 2020'!BP22/4)</f>
        <v>84.63</v>
      </c>
      <c r="D28" s="58">
        <f>IF('SA Oct 2020'!O22="",$C$5*'SA Oct 2020'!N22/100,IF($C$5&gt;='SA Oct 2020'!P22,('SA Oct 2020'!P22*'SA Oct 2020'!N22/100),($C$5*'SA Oct 2020'!N22/100)))</f>
        <v>1340</v>
      </c>
      <c r="E28" s="58">
        <f>IF(AND('SA Oct 2020'!P22&gt;0,'SA Oct 2020'!R22&gt;0),IF($C$5&lt;'SA Oct 2020'!P22,0,IF($C$5&lt;=('SA Oct 2020'!R22+'SA Oct 2020'!P22),(($C$5-'SA Oct 2020'!P22)*'SA Oct 2020'!Q22/100),(('SA Oct 2020'!R22)*'SA Oct 2020'!Q22/100))),0)</f>
        <v>0</v>
      </c>
      <c r="F28" s="58">
        <f>IF(AND('SA Oct 2020'!Q22&gt;0,'SA Oct 2020'!S22&gt;0),IF($C$5&lt;('SA Oct 2020'!R22+'SA Oct 2020'!P22),0,IF($C$5&lt;=('SA Oct 2020'!T22+'SA Oct 2020'!R22+'SA Oct 2020'!P22),(($C$5-('SA Oct 2020'!R22+'SA Oct 2020'!P22))*'SA Oct 2020'!S22/100),('SA Oct 2020'!T22*'SA Oct 2020'!S22/100))),0)</f>
        <v>0</v>
      </c>
      <c r="G28" s="59">
        <v>0</v>
      </c>
      <c r="H28" s="58">
        <f>IF(AND('SA Oct 2020'!R22&gt;0,'SA Oct 2020'!T22&gt;0),IF(($C$5&lt;'SA Oct 2020'!T22),(0),($C$5-'SA Oct 2020'!T22)*'SA Oct 2020'!U22/100),IF(AND('SA Oct 2020'!R22&gt;0,'SA Oct 2020'!T22=""),IF(($C$5&lt;'SA Oct 2020'!R22+'SA Oct 2020'!P22),(0),(($C$5-('SA Oct 2020'!R22+'SA Oct 2020'!P22))*'SA Oct 2020'!S22/100)),IF(AND('SA Oct 2020'!P22&gt;0,'SA Oct 2020'!R22=""&gt;0),IF(($C$5&lt;'SA Oct 2020'!P22),(0),($C$5-'SA Oct 2020'!P22)*'SA Oct 2020'!Q22/100),0)))</f>
        <v>0</v>
      </c>
      <c r="I28" s="61">
        <f t="shared" ref="I28" si="41">SUM(C28:H28)</f>
        <v>1424.63</v>
      </c>
      <c r="J28" s="113">
        <f t="shared" ref="J28" si="42">(I28-C28)*4</f>
        <v>5360</v>
      </c>
      <c r="K28" s="114">
        <f t="shared" ref="K28" si="43">I28*4</f>
        <v>5698.52</v>
      </c>
      <c r="L28" s="62">
        <f t="shared" ref="L28" si="44">K28*1.1</f>
        <v>6268.3720000000012</v>
      </c>
      <c r="M28" s="63">
        <f>'SA Oct 2020'!BB22</f>
        <v>0</v>
      </c>
      <c r="N28" s="63">
        <f>'SA Oct 2020'!BC22</f>
        <v>0</v>
      </c>
      <c r="O28" s="63">
        <f>'SA Oct 2020'!BD22</f>
        <v>0</v>
      </c>
      <c r="P28" s="63">
        <f>'SA Oct 2020'!BE22</f>
        <v>0</v>
      </c>
      <c r="Q28" s="115" t="str">
        <f t="shared" ref="Q28" si="45">IF(SUM(M28:P28)=0,"No discount",IF(M28&gt;0,"Guaranteed off bill",IF(N28&gt;0,"Guaranteed off usage",IF(O28&gt;0,"Pay-on-time off bill","Pay-on-time off usage"))))</f>
        <v>No discount</v>
      </c>
      <c r="R28" s="72" t="str">
        <f t="shared" ref="R28" si="46">IF(OR(A28="Origin Energy",A28="Red Energy",A28="Powershop"),"Inclusive","Exclusive")</f>
        <v>Exclusive</v>
      </c>
      <c r="S28" s="113">
        <f t="shared" ref="S28" si="47">IF(AND(Q28="Guaranteed off bill",R28="Inclusive"),((K28*1.1)-((K28*1.1)*M28/100))/1.1,IF(AND(Q28="Guaranteed off usage",R28="Inclusive"),((K28*1.1)-((J28*1.1)*N28/100))/1.1,IF(AND(Q28="Guaranteed off bill",R28="Exclusive"),K28-(K28*M28/100),IF(AND(Q28="Guaranteed off usage",R28="Exclusive"),K28-(J28*N28/100),IF(R28="Inclusive",((K28*1.1))/1.1,K28)))))</f>
        <v>5698.52</v>
      </c>
      <c r="T28" s="114">
        <f t="shared" ref="T28" si="48">IF(AND(Q28="Pay-on-time off bill",R28="Inclusive"),((S28*1.1)-((S28*1.1)*O28/100))/1.1,IF(AND(Q28="Pay-on-time off usage",R28="Inclusive"),((S28*1.1)-((J28*1.1)*P28/100))/1.1,IF(AND(Q28="Pay-on-time off bill",R28="Exclusive"),S28-(S28*O28/100),IF(AND(Q28="Pay-on-time off usage",R28="Exclusive"),S28-(J28*P28/100),IF(R28="Inclusive",((S28*1.1))/1.1,S28)))))</f>
        <v>5698.52</v>
      </c>
      <c r="U28" s="99">
        <f t="shared" ref="U28" si="49">S28*1.1</f>
        <v>6268.3720000000012</v>
      </c>
      <c r="V28" s="100">
        <f t="shared" ref="V28" si="50">T28*1.1</f>
        <v>6268.3720000000012</v>
      </c>
      <c r="W28" s="64">
        <f>'SA Oct 2020'!BL22</f>
        <v>0</v>
      </c>
      <c r="X28" s="65" t="str">
        <f>'SA Oct 2020'!BM22</f>
        <v>n</v>
      </c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295"/>
      <c r="AN28" s="295"/>
      <c r="AO28" s="295"/>
      <c r="AP28" s="295"/>
      <c r="AQ28" s="295"/>
      <c r="AR28" s="295"/>
      <c r="AS28" s="295"/>
      <c r="AT28" s="295"/>
      <c r="AU28" s="295"/>
      <c r="AV28" s="295"/>
      <c r="AW28" s="295"/>
      <c r="AX28" s="295"/>
      <c r="AY28" s="295"/>
      <c r="AZ28" s="295"/>
      <c r="BA28" s="295"/>
    </row>
    <row r="29" spans="1:53" x14ac:dyDescent="0.15">
      <c r="G29" s="293"/>
      <c r="H29" s="293"/>
      <c r="I29" s="294"/>
      <c r="J29" s="294"/>
    </row>
    <row r="30" spans="1:53" ht="15" thickBot="1" x14ac:dyDescent="0.2">
      <c r="D30" s="293"/>
      <c r="E30" s="293"/>
      <c r="F30" s="293"/>
      <c r="G30" s="293"/>
      <c r="H30" s="293"/>
      <c r="I30" s="294"/>
      <c r="J30" s="294"/>
    </row>
    <row r="31" spans="1:53" x14ac:dyDescent="0.15">
      <c r="A31" s="36" t="s">
        <v>84</v>
      </c>
      <c r="B31" s="37"/>
      <c r="C31" s="37"/>
      <c r="D31" s="42"/>
      <c r="E31" s="42"/>
      <c r="F31" s="42"/>
      <c r="G31" s="42"/>
      <c r="H31" s="42"/>
      <c r="I31" s="43"/>
      <c r="J31" s="43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9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295"/>
      <c r="AN31" s="295"/>
      <c r="AO31" s="295"/>
      <c r="AP31" s="295"/>
      <c r="AQ31" s="295"/>
      <c r="AR31" s="295"/>
      <c r="AS31" s="295"/>
      <c r="AT31" s="295"/>
      <c r="AU31" s="295"/>
      <c r="AV31" s="295"/>
      <c r="AW31" s="295"/>
      <c r="AX31" s="295"/>
      <c r="AY31" s="295"/>
      <c r="AZ31" s="295"/>
      <c r="BA31" s="295"/>
    </row>
    <row r="32" spans="1:53" x14ac:dyDescent="0.15">
      <c r="A32" s="40" t="s">
        <v>197</v>
      </c>
      <c r="B32" s="38"/>
      <c r="C32" s="47">
        <v>5000</v>
      </c>
      <c r="D32" s="44"/>
      <c r="E32" s="44"/>
      <c r="F32" s="44"/>
      <c r="G32" s="44"/>
      <c r="H32" s="44"/>
      <c r="I32" s="45"/>
      <c r="J32" s="45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41"/>
    </row>
    <row r="33" spans="1:53" x14ac:dyDescent="0.15">
      <c r="A33" s="40" t="s">
        <v>85</v>
      </c>
      <c r="B33" s="38"/>
      <c r="C33" s="48">
        <v>0.7</v>
      </c>
      <c r="D33" s="44"/>
      <c r="E33" s="44"/>
      <c r="F33" s="44"/>
      <c r="G33" s="44"/>
      <c r="H33" s="44"/>
      <c r="I33" s="45"/>
      <c r="J33" s="45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41"/>
    </row>
    <row r="34" spans="1:53" x14ac:dyDescent="0.15">
      <c r="A34" s="40" t="s">
        <v>171</v>
      </c>
      <c r="B34" s="38"/>
      <c r="C34" s="48">
        <v>0.3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295"/>
      <c r="AN34" s="295"/>
      <c r="AO34" s="295"/>
      <c r="AP34" s="295"/>
      <c r="AQ34" s="295"/>
      <c r="AR34" s="295"/>
      <c r="AS34" s="295"/>
      <c r="AT34" s="295"/>
      <c r="AU34" s="295"/>
      <c r="AV34" s="295"/>
      <c r="AW34" s="295"/>
      <c r="AX34" s="295"/>
      <c r="AY34" s="295"/>
      <c r="AZ34" s="295"/>
      <c r="BA34" s="295"/>
    </row>
    <row r="35" spans="1:53" x14ac:dyDescent="0.15">
      <c r="A35" s="40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88"/>
      <c r="S35" s="88"/>
      <c r="T35" s="88"/>
      <c r="U35" s="88"/>
      <c r="V35" s="38"/>
      <c r="W35" s="38"/>
      <c r="X35" s="41"/>
    </row>
    <row r="36" spans="1:53" ht="75" x14ac:dyDescent="0.15">
      <c r="A36" s="271" t="s">
        <v>216</v>
      </c>
      <c r="B36" s="272" t="s">
        <v>198</v>
      </c>
      <c r="C36" s="274" t="s">
        <v>199</v>
      </c>
      <c r="D36" s="274" t="s">
        <v>200</v>
      </c>
      <c r="E36" s="274" t="s">
        <v>201</v>
      </c>
      <c r="F36" s="274" t="s">
        <v>164</v>
      </c>
      <c r="G36" s="274" t="s">
        <v>84</v>
      </c>
      <c r="H36" s="274" t="s">
        <v>233</v>
      </c>
      <c r="I36" s="274" t="s">
        <v>165</v>
      </c>
      <c r="J36" s="275" t="s">
        <v>544</v>
      </c>
      <c r="K36" s="276" t="s">
        <v>166</v>
      </c>
      <c r="L36" s="277" t="s">
        <v>545</v>
      </c>
      <c r="M36" s="278" t="s">
        <v>167</v>
      </c>
      <c r="N36" s="278" t="s">
        <v>168</v>
      </c>
      <c r="O36" s="278" t="s">
        <v>169</v>
      </c>
      <c r="P36" s="278" t="s">
        <v>170</v>
      </c>
      <c r="Q36" s="279" t="s">
        <v>541</v>
      </c>
      <c r="R36" s="279" t="s">
        <v>542</v>
      </c>
      <c r="S36" s="280" t="s">
        <v>546</v>
      </c>
      <c r="T36" s="280" t="s">
        <v>547</v>
      </c>
      <c r="U36" s="281" t="s">
        <v>227</v>
      </c>
      <c r="V36" s="281" t="s">
        <v>272</v>
      </c>
      <c r="W36" s="278" t="s">
        <v>82</v>
      </c>
      <c r="X36" s="282" t="s">
        <v>83</v>
      </c>
    </row>
    <row r="37" spans="1:53" x14ac:dyDescent="0.15">
      <c r="A37" s="70" t="str">
        <f>'SA Oct 2020'!K23</f>
        <v>AGL</v>
      </c>
      <c r="B37" s="49" t="str">
        <f>'SA Oct 2020'!L23</f>
        <v>Business Essentials</v>
      </c>
      <c r="C37" s="46">
        <f>IF('SA Oct 2020'!BP23=0,91*'SA Oct 2020'!M23/100,(91*'SA Oct 2020'!M23/100)+'SA Oct 2020'!BP23/4)</f>
        <v>68.845636363636345</v>
      </c>
      <c r="D37" s="46">
        <f>IF('SA Oct 2020'!O23="",$C$32*$C$33*'SA Oct 2020'!N23/100,IF($C$32*$C$33&gt;='SA Oct 2020'!P23,('SA Oct 2020'!P23*'SA Oct 2020'!N23/100),($C$32*$C$33*'SA Oct 2020'!N23/100)))</f>
        <v>1074.5</v>
      </c>
      <c r="E37" s="46">
        <f>IF(AND('SA Oct 2020'!P23&gt;0,'SA Oct 2020'!R23&gt;0),IF($C$32*$C$33&lt;'SA Oct 2020'!P23,0,IF($C$32*$C$33&lt;=('SA Oct 2020'!R23+'SA Oct 2020'!P23),(($C$32*$C$33-'SA Oct 2020'!P23)*'SA Oct 2020'!Q23/100),(('SA Oct 2020'!R23)*'SA Oct 2020'!Q23/100))),0)</f>
        <v>0</v>
      </c>
      <c r="F37" s="46">
        <f>IF(AND('SA Oct 2020'!R23&gt;0,'SA Oct 2020'!T23&gt;0),IF(($C$32*$C$33&lt;'SA Oct 2020'!T23),(0),($C$32*$C$33-'SA Oct 2020'!T23)*'SA Oct 2020'!U23/100),IF(AND('SA Oct 2020'!R23&gt;0,'SA Oct 2020'!T23=""),IF(($C$32*$C$33&lt;'SA Oct 2020'!R23+'SA Oct 2020'!P23),(0),(($C$32*$C$33-('SA Oct 2020'!R23+'SA Oct 2020'!P23))*'SA Oct 2020'!S23/100)),IF(AND('SA Oct 2020'!P23&gt;0,'SA Oct 2020'!R23=""&gt;0),IF(($C$32*$C$33&lt;'SA Oct 2020'!P23),(0),($C$32*$C$33-'SA Oct 2020'!P23)*'SA Oct 2020'!Q23/100),0)))</f>
        <v>0</v>
      </c>
      <c r="G37" s="50">
        <f>($C$32*$C$34)*'SA Oct 2020'!AF23/100</f>
        <v>216.54545454545453</v>
      </c>
      <c r="H37" s="51">
        <v>0</v>
      </c>
      <c r="I37" s="52">
        <f t="shared" ref="I37:I51" si="51">SUM(C37:G37)</f>
        <v>1359.891090909091</v>
      </c>
      <c r="J37" s="109">
        <f>(I37-C37)*4</f>
        <v>5164.181818181818</v>
      </c>
      <c r="K37" s="109">
        <f t="shared" ref="K37:K51" si="52">I37*4</f>
        <v>5439.5643636363639</v>
      </c>
      <c r="L37" s="53">
        <f t="shared" ref="L37:L51" si="53">K37*1.1</f>
        <v>5983.5208000000011</v>
      </c>
      <c r="M37" s="54">
        <f>'SA Oct 2020'!BB23</f>
        <v>0</v>
      </c>
      <c r="N37" s="54">
        <f>'SA Oct 2020'!BC23</f>
        <v>0</v>
      </c>
      <c r="O37" s="54">
        <f>'SA Oct 2020'!BD23</f>
        <v>0</v>
      </c>
      <c r="P37" s="54">
        <f>'SA Oct 2020'!BE23</f>
        <v>0</v>
      </c>
      <c r="Q37" s="110" t="str">
        <f t="shared" ref="Q37:Q43" si="54">IF(SUM(M37:P37)=0,"No discount",IF(M37&gt;0,"Guaranteed off bill",IF(N37&gt;0,"Guaranteed off usage",IF(O37&gt;0,"Pay-on-time off bill","Pay-on-time off usage"))))</f>
        <v>No discount</v>
      </c>
      <c r="R37" s="73" t="str">
        <f t="shared" ref="R37:R51" si="55">IF(OR(A37="Origin Energy",A37="Red Energy",A37="Powershop"),"Inclusive","Exclusive")</f>
        <v>Exclusive</v>
      </c>
      <c r="S37" s="111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5439.5643636363639</v>
      </c>
      <c r="T37" s="112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5439.5643636363639</v>
      </c>
      <c r="U37" s="97">
        <f>S37*1.1</f>
        <v>5983.5208000000011</v>
      </c>
      <c r="V37" s="98">
        <f>T37*1.1</f>
        <v>5983.5208000000011</v>
      </c>
      <c r="W37" s="55">
        <f>'SA Oct 2020'!BL23</f>
        <v>0</v>
      </c>
      <c r="X37" s="56" t="str">
        <f>'SA Oct 2020'!BM23</f>
        <v>n</v>
      </c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295"/>
      <c r="AN37" s="295"/>
      <c r="AO37" s="295"/>
      <c r="AP37" s="295"/>
      <c r="AQ37" s="295"/>
      <c r="AR37" s="295"/>
      <c r="AS37" s="295"/>
      <c r="AT37" s="295"/>
      <c r="AU37" s="295"/>
      <c r="AV37" s="295"/>
      <c r="AW37" s="295"/>
      <c r="AX37" s="295"/>
      <c r="AY37" s="295"/>
      <c r="AZ37" s="295"/>
      <c r="BA37" s="295"/>
    </row>
    <row r="38" spans="1:53" x14ac:dyDescent="0.15">
      <c r="A38" s="70" t="str">
        <f>'SA Oct 2020'!K24</f>
        <v>Alinta Energy</v>
      </c>
      <c r="B38" s="49" t="str">
        <f>'SA Oct 2020'!L24</f>
        <v>Business Advantage</v>
      </c>
      <c r="C38" s="46">
        <f>IF('SA Oct 2020'!BP24=0,91*'SA Oct 2020'!M24/100,(91*'SA Oct 2020'!M24/100)+'SA Oct 2020'!BP24/4)</f>
        <v>82.355000000000004</v>
      </c>
      <c r="D38" s="46">
        <f>IF('SA Oct 2020'!O24="",$C$32*$C$33*'SA Oct 2020'!N24/100,IF($C$32*$C$33&gt;='SA Oct 2020'!P24,('SA Oct 2020'!P24*'SA Oct 2020'!N24/100),($C$32*$C$33*'SA Oct 2020'!N24/100)))</f>
        <v>849.31818181818176</v>
      </c>
      <c r="E38" s="46">
        <f>IF(AND('SA Oct 2020'!P24&gt;0,'SA Oct 2020'!R24&gt;0),IF($C$32*$C$33&lt;'SA Oct 2020'!P24,0,IF($C$32*$C$33&lt;=('SA Oct 2020'!R24+'SA Oct 2020'!P24),(($C$32*$C$33-'SA Oct 2020'!P24)*'SA Oct 2020'!Q24/100),(('SA Oct 2020'!R24)*'SA Oct 2020'!Q24/100))),0)</f>
        <v>0</v>
      </c>
      <c r="F38" s="46">
        <f>IF(AND('SA Oct 2020'!R24&gt;0,'SA Oct 2020'!T24&gt;0),IF(($C$32*$C$33&lt;'SA Oct 2020'!T24),(0),($C$32*$C$33-'SA Oct 2020'!T24)*'SA Oct 2020'!U24/100),IF(AND('SA Oct 2020'!R24&gt;0,'SA Oct 2020'!T24=""),IF(($C$32*$C$33&lt;'SA Oct 2020'!R24+'SA Oct 2020'!P24),(0),(($C$32*$C$33-('SA Oct 2020'!R24+'SA Oct 2020'!P24))*'SA Oct 2020'!S24/100)),IF(AND('SA Oct 2020'!P24&gt;0,'SA Oct 2020'!R24=""&gt;0),IF(($C$32*$C$33&lt;'SA Oct 2020'!P24),(0),($C$32*$C$33-'SA Oct 2020'!P24)*'SA Oct 2020'!Q24/100),0)))</f>
        <v>339.72727272727275</v>
      </c>
      <c r="G38" s="50">
        <f>($C$32*$C$34)*'SA Oct 2020'!AF24/100</f>
        <v>232.6363636363636</v>
      </c>
      <c r="H38" s="51">
        <f>IF($C$32*$C$34&lt;'SA Oct 2020'!AG24,(0),((('SA Bills October 2020'!$C$32*'SA Bills October 2020'!$C$34)-('SA Oct 2020'!AG24))*'SA Oct 2020'!AH24/100))</f>
        <v>0</v>
      </c>
      <c r="I38" s="52">
        <f t="shared" si="51"/>
        <v>1504.036818181818</v>
      </c>
      <c r="J38" s="109">
        <f t="shared" ref="J38:J51" si="56">(I38-C38)*4</f>
        <v>5686.7272727272721</v>
      </c>
      <c r="K38" s="109">
        <f t="shared" si="52"/>
        <v>6016.1472727272721</v>
      </c>
      <c r="L38" s="53">
        <f t="shared" si="53"/>
        <v>6617.7619999999997</v>
      </c>
      <c r="M38" s="54">
        <f>'SA Oct 2020'!BB24</f>
        <v>0</v>
      </c>
      <c r="N38" s="54">
        <f>'SA Oct 2020'!BC24</f>
        <v>0</v>
      </c>
      <c r="O38" s="54">
        <f>'SA Oct 2020'!BD24</f>
        <v>0</v>
      </c>
      <c r="P38" s="54">
        <f>'SA Oct 2020'!BE24</f>
        <v>0</v>
      </c>
      <c r="Q38" s="110" t="str">
        <f t="shared" si="54"/>
        <v>No discount</v>
      </c>
      <c r="R38" s="73" t="str">
        <f t="shared" si="55"/>
        <v>Exclusive</v>
      </c>
      <c r="S38" s="111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6016.1472727272721</v>
      </c>
      <c r="T38" s="112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6016.1472727272721</v>
      </c>
      <c r="U38" s="97">
        <f t="shared" ref="U38:V51" si="57">S38*1.1</f>
        <v>6617.7619999999997</v>
      </c>
      <c r="V38" s="98">
        <f t="shared" si="57"/>
        <v>6617.7619999999997</v>
      </c>
      <c r="W38" s="55">
        <f>'SA Oct 2020'!BL24</f>
        <v>0</v>
      </c>
      <c r="X38" s="56" t="str">
        <f>'SA Oct 2020'!BM24</f>
        <v>n</v>
      </c>
    </row>
    <row r="39" spans="1:53" x14ac:dyDescent="0.15">
      <c r="A39" s="70" t="str">
        <f>'SA Oct 2020'!K25</f>
        <v>Click Energy</v>
      </c>
      <c r="B39" s="49" t="str">
        <f>'SA Oct 2020'!L25</f>
        <v>Click Business Pin</v>
      </c>
      <c r="C39" s="46">
        <f>IF('SA Oct 2020'!BP25=0,91*'SA Oct 2020'!M25/100,(91*'SA Oct 2020'!M25/100)+'SA Oct 2020'!BP25/4)</f>
        <v>72.36154545454545</v>
      </c>
      <c r="D39" s="46">
        <f>IF('SA Oct 2020'!O25="",$C$32*$C$33*'SA Oct 2020'!N25/100,IF($C$32*$C$33&gt;='SA Oct 2020'!P25,('SA Oct 2020'!P25*'SA Oct 2020'!N25/100),($C$32*$C$33*'SA Oct 2020'!N25/100)))</f>
        <v>1045.8636363636363</v>
      </c>
      <c r="E39" s="46">
        <f>IF(AND('SA Oct 2020'!P25&gt;0,'SA Oct 2020'!R25&gt;0),IF($C$32*$C$33&lt;'SA Oct 2020'!P25,0,IF($C$32*$C$33&lt;=('SA Oct 2020'!R25+'SA Oct 2020'!P25),(($C$32*$C$33-'SA Oct 2020'!P25)*'SA Oct 2020'!Q25/100),(('SA Oct 2020'!R25)*'SA Oct 2020'!Q25/100))),0)</f>
        <v>0</v>
      </c>
      <c r="F39" s="46">
        <f>IF(AND('SA Oct 2020'!R25&gt;0,'SA Oct 2020'!T25&gt;0),IF(($C$32*$C$33&lt;'SA Oct 2020'!T25),(0),($C$32*$C$33-'SA Oct 2020'!T25)*'SA Oct 2020'!U25/100),IF(AND('SA Oct 2020'!R25&gt;0,'SA Oct 2020'!T25=""),IF(($C$32*$C$33&lt;'SA Oct 2020'!R25+'SA Oct 2020'!P25),(0),(($C$32*$C$33-('SA Oct 2020'!R25+'SA Oct 2020'!P25))*'SA Oct 2020'!S25/100)),IF(AND('SA Oct 2020'!P25&gt;0,'SA Oct 2020'!R25=""&gt;0),IF(($C$32*$C$33&lt;'SA Oct 2020'!P25),(0),($C$32*$C$33-'SA Oct 2020'!P25)*'SA Oct 2020'!Q25/100),0)))</f>
        <v>0</v>
      </c>
      <c r="G39" s="50">
        <f>($C$32*$C$34)*'SA Oct 2020'!AF25/100</f>
        <v>213.13636363636363</v>
      </c>
      <c r="H39" s="51">
        <v>0</v>
      </c>
      <c r="I39" s="52">
        <f t="shared" si="51"/>
        <v>1331.3615454545452</v>
      </c>
      <c r="J39" s="109">
        <f t="shared" si="56"/>
        <v>5035.9999999999991</v>
      </c>
      <c r="K39" s="109">
        <f t="shared" si="52"/>
        <v>5325.4461818181808</v>
      </c>
      <c r="L39" s="53">
        <f t="shared" si="53"/>
        <v>5857.9907999999996</v>
      </c>
      <c r="M39" s="54">
        <f>'SA Oct 2020'!BB25</f>
        <v>0</v>
      </c>
      <c r="N39" s="54">
        <f>'SA Oct 2020'!BC25</f>
        <v>0</v>
      </c>
      <c r="O39" s="54">
        <f>'SA Oct 2020'!BD25</f>
        <v>0</v>
      </c>
      <c r="P39" s="54">
        <f>'SA Oct 2020'!BE25</f>
        <v>0</v>
      </c>
      <c r="Q39" s="110" t="str">
        <f t="shared" si="54"/>
        <v>No discount</v>
      </c>
      <c r="R39" s="73" t="str">
        <f t="shared" si="55"/>
        <v>Exclusive</v>
      </c>
      <c r="S39" s="111">
        <f t="shared" ref="S39:S51" si="58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5325.4461818181808</v>
      </c>
      <c r="T39" s="112">
        <f t="shared" ref="T39:T51" si="59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5325.4461818181808</v>
      </c>
      <c r="U39" s="97">
        <f t="shared" si="57"/>
        <v>5857.9907999999996</v>
      </c>
      <c r="V39" s="98">
        <f t="shared" si="57"/>
        <v>5857.9907999999996</v>
      </c>
      <c r="W39" s="55">
        <f>'SA Oct 2020'!BL25</f>
        <v>0</v>
      </c>
      <c r="X39" s="56" t="str">
        <f>'SA Oct 2020'!BM25</f>
        <v>n</v>
      </c>
    </row>
    <row r="40" spans="1:53" x14ac:dyDescent="0.15">
      <c r="A40" s="70" t="str">
        <f>'SA Oct 2020'!K26</f>
        <v>Commander</v>
      </c>
      <c r="B40" s="49" t="str">
        <f>'SA Oct 2020'!L26</f>
        <v>Market offer</v>
      </c>
      <c r="C40" s="46">
        <f>IF('SA Oct 2020'!BP26=0,91*'SA Oct 2020'!M26/100,(91*'SA Oct 2020'!M26/100)+'SA Oct 2020'!BP26/4)</f>
        <v>87.053909090909087</v>
      </c>
      <c r="D40" s="46">
        <f>IF('SA Oct 2020'!O26="",$C$32*$C$33*'SA Oct 2020'!N26/100,IF($C$32*$C$33&gt;='SA Oct 2020'!P26,('SA Oct 2020'!P26*'SA Oct 2020'!N26/100),($C$32*$C$33*'SA Oct 2020'!N26/100)))</f>
        <v>1181.409090909091</v>
      </c>
      <c r="E40" s="46">
        <f>IF(AND('SA Oct 2020'!P26&gt;0,'SA Oct 2020'!R26&gt;0),IF($C$32*$C$33&lt;'SA Oct 2020'!P26,0,IF($C$32*$C$33&lt;=('SA Oct 2020'!R26+'SA Oct 2020'!P26),(($C$32*$C$33-'SA Oct 2020'!P26)*'SA Oct 2020'!Q26/100),(('SA Oct 2020'!R26)*'SA Oct 2020'!Q26/100))),0)</f>
        <v>0</v>
      </c>
      <c r="F40" s="46">
        <f>IF(AND('SA Oct 2020'!R26&gt;0,'SA Oct 2020'!T26&gt;0),IF(($C$32*$C$33&lt;'SA Oct 2020'!T26),(0),($C$32*$C$33-'SA Oct 2020'!T26)*'SA Oct 2020'!U26/100),IF(AND('SA Oct 2020'!R26&gt;0,'SA Oct 2020'!T26=""),IF(($C$32*$C$33&lt;'SA Oct 2020'!R26+'SA Oct 2020'!P26),(0),(($C$32*$C$33-('SA Oct 2020'!R26+'SA Oct 2020'!P26))*'SA Oct 2020'!S26/100)),IF(AND('SA Oct 2020'!P26&gt;0,'SA Oct 2020'!R26=""&gt;0),IF(($C$32*$C$33&lt;'SA Oct 2020'!P26),(0),($C$32*$C$33-'SA Oct 2020'!P26)*'SA Oct 2020'!Q26/100),0)))</f>
        <v>0</v>
      </c>
      <c r="G40" s="50">
        <f>($C$32*$C$34)*'SA Oct 2020'!AF26/100</f>
        <v>308.45454545454544</v>
      </c>
      <c r="H40" s="51">
        <v>0</v>
      </c>
      <c r="I40" s="52">
        <f t="shared" si="51"/>
        <v>1576.9175454545457</v>
      </c>
      <c r="J40" s="109">
        <f t="shared" si="56"/>
        <v>5959.454545454546</v>
      </c>
      <c r="K40" s="109">
        <f t="shared" si="52"/>
        <v>6307.6701818181828</v>
      </c>
      <c r="L40" s="53">
        <f t="shared" si="53"/>
        <v>6938.4372000000012</v>
      </c>
      <c r="M40" s="54">
        <f>'SA Oct 2020'!BB26</f>
        <v>0</v>
      </c>
      <c r="N40" s="54">
        <f>'SA Oct 2020'!BC26</f>
        <v>0</v>
      </c>
      <c r="O40" s="54">
        <f>'SA Oct 2020'!BD26</f>
        <v>0</v>
      </c>
      <c r="P40" s="54">
        <f>'SA Oct 2020'!BE26</f>
        <v>0</v>
      </c>
      <c r="Q40" s="110" t="str">
        <f t="shared" si="54"/>
        <v>No discount</v>
      </c>
      <c r="R40" s="73" t="str">
        <f t="shared" si="55"/>
        <v>Exclusive</v>
      </c>
      <c r="S40" s="111">
        <f t="shared" si="58"/>
        <v>6307.6701818181828</v>
      </c>
      <c r="T40" s="112">
        <f t="shared" si="59"/>
        <v>6307.6701818181828</v>
      </c>
      <c r="U40" s="97">
        <f t="shared" si="57"/>
        <v>6938.4372000000012</v>
      </c>
      <c r="V40" s="98">
        <f t="shared" si="57"/>
        <v>6938.4372000000012</v>
      </c>
      <c r="W40" s="55">
        <f>'SA Oct 2020'!BL26</f>
        <v>0</v>
      </c>
      <c r="X40" s="56" t="str">
        <f>'SA Oct 2020'!BM26</f>
        <v>n</v>
      </c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295"/>
      <c r="AN40" s="295"/>
      <c r="AO40" s="295"/>
      <c r="AP40" s="295"/>
      <c r="AQ40" s="295"/>
      <c r="AR40" s="295"/>
      <c r="AS40" s="295"/>
      <c r="AT40" s="295"/>
      <c r="AU40" s="295"/>
      <c r="AV40" s="295"/>
      <c r="AW40" s="295"/>
      <c r="AX40" s="295"/>
      <c r="AY40" s="295"/>
      <c r="AZ40" s="295"/>
      <c r="BA40" s="295"/>
    </row>
    <row r="41" spans="1:53" x14ac:dyDescent="0.15">
      <c r="A41" s="70" t="str">
        <f>'SA Oct 2020'!K27</f>
        <v>Diamond Energy</v>
      </c>
      <c r="B41" s="49" t="str">
        <f>'SA Oct 2020'!L27</f>
        <v>Renewable Saver POT</v>
      </c>
      <c r="C41" s="46">
        <f>IF('SA Oct 2020'!BP27=0,91*'SA Oct 2020'!M27/100,(91*'SA Oct 2020'!M27/100)+'SA Oct 2020'!BP27/4)</f>
        <v>90.545000000000002</v>
      </c>
      <c r="D41" s="46">
        <f>IF('SA Oct 2020'!O27="",$C$32*$C$33*'SA Oct 2020'!N27/100,IF($C$32*$C$33&gt;='SA Oct 2020'!P27,('SA Oct 2020'!P27*'SA Oct 2020'!N27/100),($C$32*$C$33*'SA Oct 2020'!N27/100)))</f>
        <v>375.54545454545456</v>
      </c>
      <c r="E41" s="46">
        <f>IF(AND('SA Oct 2020'!P27&gt;0,'SA Oct 2020'!R27&gt;0),IF($C$32*$C$33&lt;'SA Oct 2020'!P27,0,IF($C$32*$C$33&lt;=('SA Oct 2020'!R27+'SA Oct 2020'!P27),(($C$32*$C$33-'SA Oct 2020'!P27)*'SA Oct 2020'!Q27/100),(('SA Oct 2020'!R27)*'SA Oct 2020'!Q27/100))),0)</f>
        <v>0</v>
      </c>
      <c r="F41" s="46">
        <f>IF(AND('SA Oct 2020'!R27&gt;0,'SA Oct 2020'!T27&gt;0),IF(($C$32*$C$33&lt;'SA Oct 2020'!T27),(0),($C$32*$C$33-'SA Oct 2020'!T27)*'SA Oct 2020'!U27/100),IF(AND('SA Oct 2020'!R27&gt;0,'SA Oct 2020'!T27=""),IF(($C$32*$C$33&lt;'SA Oct 2020'!R27+'SA Oct 2020'!P27),(0),(($C$32*$C$33-('SA Oct 2020'!R27+'SA Oct 2020'!P27))*'SA Oct 2020'!S27/100)),IF(AND('SA Oct 2020'!P27&gt;0,'SA Oct 2020'!R27=""&gt;0),IF(($C$32*$C$33&lt;'SA Oct 2020'!P27),(0),($C$32*$C$33-'SA Oct 2020'!P27)*'SA Oct 2020'!Q27/100),0)))</f>
        <v>998.86363636363637</v>
      </c>
      <c r="G41" s="50">
        <f>($C$32*$C$34)*'SA Oct 2020'!AF27/100</f>
        <v>299.31818181818181</v>
      </c>
      <c r="H41" s="51">
        <v>0</v>
      </c>
      <c r="I41" s="52">
        <f t="shared" si="51"/>
        <v>1764.2722727272728</v>
      </c>
      <c r="J41" s="109">
        <f t="shared" si="56"/>
        <v>6694.909090909091</v>
      </c>
      <c r="K41" s="109">
        <f t="shared" si="52"/>
        <v>7057.0890909090913</v>
      </c>
      <c r="L41" s="53">
        <f t="shared" si="53"/>
        <v>7762.7980000000007</v>
      </c>
      <c r="M41" s="54">
        <f>'SA Oct 2020'!BB27</f>
        <v>0</v>
      </c>
      <c r="N41" s="54">
        <f>'SA Oct 2020'!BC27</f>
        <v>0</v>
      </c>
      <c r="O41" s="54">
        <f>'SA Oct 2020'!BD27</f>
        <v>7</v>
      </c>
      <c r="P41" s="54">
        <f>'SA Oct 2020'!BE27</f>
        <v>0</v>
      </c>
      <c r="Q41" s="110" t="str">
        <f t="shared" si="54"/>
        <v>Pay-on-time off bill</v>
      </c>
      <c r="R41" s="73" t="str">
        <f t="shared" si="55"/>
        <v>Exclusive</v>
      </c>
      <c r="S41" s="111">
        <f t="shared" si="58"/>
        <v>7057.0890909090913</v>
      </c>
      <c r="T41" s="112">
        <f t="shared" si="59"/>
        <v>6563.0928545454553</v>
      </c>
      <c r="U41" s="97">
        <f t="shared" si="57"/>
        <v>7762.7980000000007</v>
      </c>
      <c r="V41" s="98">
        <f t="shared" si="57"/>
        <v>7219.4021400000011</v>
      </c>
      <c r="W41" s="55">
        <f>'SA Oct 2020'!BL27</f>
        <v>0</v>
      </c>
      <c r="X41" s="56" t="str">
        <f>'SA Oct 2020'!BM27</f>
        <v>n</v>
      </c>
    </row>
    <row r="42" spans="1:53" x14ac:dyDescent="0.15">
      <c r="A42" s="70" t="str">
        <f>'SA Oct 2020'!K28</f>
        <v>EnergyAustralia</v>
      </c>
      <c r="B42" s="49" t="str">
        <f>'SA Oct 2020'!L28</f>
        <v>Total Plan</v>
      </c>
      <c r="C42" s="46">
        <f>IF('SA Oct 2020'!BP28=0,91*'SA Oct 2020'!M28/100,(91*'SA Oct 2020'!M28/100)+'SA Oct 2020'!BP28/4)</f>
        <v>89.179999999999978</v>
      </c>
      <c r="D42" s="46">
        <f>IF('SA Oct 2020'!O28="",$C$32*$C$33*'SA Oct 2020'!N28/100,IF($C$32*$C$33&gt;='SA Oct 2020'!P28,('SA Oct 2020'!P28*'SA Oct 2020'!N28/100),($C$32*$C$33*'SA Oct 2020'!N28/100)))</f>
        <v>1258.7272727272727</v>
      </c>
      <c r="E42" s="46">
        <f>IF(AND('SA Oct 2020'!P28&gt;0,'SA Oct 2020'!R28&gt;0),IF($C$32*$C$33&lt;'SA Oct 2020'!P28,0,IF($C$32*$C$33&lt;=('SA Oct 2020'!R28+'SA Oct 2020'!P28),(($C$32*$C$33-'SA Oct 2020'!P28)*'SA Oct 2020'!Q28/100),(('SA Oct 2020'!R28)*'SA Oct 2020'!Q28/100))),0)</f>
        <v>0</v>
      </c>
      <c r="F42" s="46">
        <f>IF(AND('SA Oct 2020'!R28&gt;0,'SA Oct 2020'!T28&gt;0),IF(($C$32*$C$33&lt;'SA Oct 2020'!T28),(0),($C$32*$C$33-'SA Oct 2020'!T28)*'SA Oct 2020'!U28/100),IF(AND('SA Oct 2020'!R28&gt;0,'SA Oct 2020'!T28=""),IF(($C$32*$C$33&lt;'SA Oct 2020'!R28+'SA Oct 2020'!P28),(0),(($C$32*$C$33-('SA Oct 2020'!R28+'SA Oct 2020'!P28))*'SA Oct 2020'!S28/100)),IF(AND('SA Oct 2020'!P28&gt;0,'SA Oct 2020'!R28=""&gt;0),IF(($C$32*$C$33&lt;'SA Oct 2020'!P28),(0),($C$32*$C$33-'SA Oct 2020'!P28)*'SA Oct 2020'!Q28/100),0)))</f>
        <v>0</v>
      </c>
      <c r="G42" s="50">
        <f>($C$32*$C$34)*'SA Oct 2020'!AF28/100</f>
        <v>254.59090909090909</v>
      </c>
      <c r="H42" s="51">
        <v>0</v>
      </c>
      <c r="I42" s="52">
        <f t="shared" si="51"/>
        <v>1602.4981818181818</v>
      </c>
      <c r="J42" s="109">
        <f t="shared" si="56"/>
        <v>6053.272727272727</v>
      </c>
      <c r="K42" s="109">
        <f t="shared" si="52"/>
        <v>6409.9927272727273</v>
      </c>
      <c r="L42" s="53">
        <f t="shared" si="53"/>
        <v>7050.9920000000002</v>
      </c>
      <c r="M42" s="54">
        <f>'SA Oct 2020'!BB28</f>
        <v>3</v>
      </c>
      <c r="N42" s="54">
        <f>'SA Oct 2020'!BC28</f>
        <v>0</v>
      </c>
      <c r="O42" s="54">
        <f>'SA Oct 2020'!BD28</f>
        <v>0</v>
      </c>
      <c r="P42" s="54">
        <f>'SA Oct 2020'!BE28</f>
        <v>0</v>
      </c>
      <c r="Q42" s="110" t="str">
        <f t="shared" si="54"/>
        <v>Guaranteed off bill</v>
      </c>
      <c r="R42" s="73" t="str">
        <f t="shared" si="55"/>
        <v>Exclusive</v>
      </c>
      <c r="S42" s="111">
        <f t="shared" si="58"/>
        <v>6217.6929454545452</v>
      </c>
      <c r="T42" s="112">
        <f t="shared" si="59"/>
        <v>6217.6929454545452</v>
      </c>
      <c r="U42" s="97">
        <f t="shared" si="57"/>
        <v>6839.4622400000007</v>
      </c>
      <c r="V42" s="98">
        <f t="shared" si="57"/>
        <v>6839.4622400000007</v>
      </c>
      <c r="W42" s="55">
        <f>'SA Oct 2020'!BL28</f>
        <v>0</v>
      </c>
      <c r="X42" s="56" t="str">
        <f>'SA Oct 2020'!BM28</f>
        <v>n</v>
      </c>
    </row>
    <row r="43" spans="1:53" x14ac:dyDescent="0.15">
      <c r="A43" s="70" t="str">
        <f>'SA Oct 2020'!K29</f>
        <v>Lumo Energy</v>
      </c>
      <c r="B43" s="49" t="str">
        <f>'SA Oct 2020'!L29</f>
        <v>Basic</v>
      </c>
      <c r="C43" s="46">
        <f>IF('SA Oct 2020'!BP29=0,91*'SA Oct 2020'!M29/100,(91*'SA Oct 2020'!M29/100)+'SA Oct 2020'!BP29/4)</f>
        <v>78.276545454545442</v>
      </c>
      <c r="D43" s="46">
        <f>IF('SA Oct 2020'!O29="",$C$32*$C$33*'SA Oct 2020'!N29/100,IF($C$32*$C$33&gt;='SA Oct 2020'!P29,('SA Oct 2020'!P29*'SA Oct 2020'!N29/100),($C$32*$C$33*'SA Oct 2020'!N29/100)))</f>
        <v>1186.1818181818182</v>
      </c>
      <c r="E43" s="46">
        <f>IF(AND('SA Oct 2020'!P29&gt;0,'SA Oct 2020'!R29&gt;0),IF($C$32*$C$33&lt;'SA Oct 2020'!P29,0,IF($C$32*$C$33&lt;=('SA Oct 2020'!R29+'SA Oct 2020'!P29),(($C$32*$C$33-'SA Oct 2020'!P29)*'SA Oct 2020'!Q29/100),(('SA Oct 2020'!R29)*'SA Oct 2020'!Q29/100))),0)</f>
        <v>0</v>
      </c>
      <c r="F43" s="46">
        <f>IF(AND('SA Oct 2020'!R29&gt;0,'SA Oct 2020'!T29&gt;0),IF(($C$32*$C$33&lt;'SA Oct 2020'!T29),(0),($C$32*$C$33-'SA Oct 2020'!T29)*'SA Oct 2020'!U29/100),IF(AND('SA Oct 2020'!R29&gt;0,'SA Oct 2020'!T29=""),IF(($C$32*$C$33&lt;'SA Oct 2020'!R29+'SA Oct 2020'!P29),(0),(($C$32*$C$33-('SA Oct 2020'!R29+'SA Oct 2020'!P29))*'SA Oct 2020'!S29/100)),IF(AND('SA Oct 2020'!P29&gt;0,'SA Oct 2020'!R29=""&gt;0),IF(($C$32*$C$33&lt;'SA Oct 2020'!P29),(0),($C$32*$C$33-'SA Oct 2020'!P29)*'SA Oct 2020'!Q29/100),0)))</f>
        <v>0</v>
      </c>
      <c r="G43" s="50">
        <f>($C$32*$C$34)*'SA Oct 2020'!AF29/100</f>
        <v>281.99999999999994</v>
      </c>
      <c r="H43" s="51">
        <v>1</v>
      </c>
      <c r="I43" s="52">
        <f t="shared" si="51"/>
        <v>1546.4583636363636</v>
      </c>
      <c r="J43" s="109">
        <f t="shared" si="56"/>
        <v>5872.727272727273</v>
      </c>
      <c r="K43" s="109">
        <f t="shared" si="52"/>
        <v>6185.8334545454545</v>
      </c>
      <c r="L43" s="53">
        <f t="shared" si="53"/>
        <v>6804.4168000000009</v>
      </c>
      <c r="M43" s="54">
        <f>'SA Oct 2020'!BB29</f>
        <v>0</v>
      </c>
      <c r="N43" s="54">
        <f>'SA Oct 2020'!BC29</f>
        <v>0</v>
      </c>
      <c r="O43" s="54">
        <f>'SA Oct 2020'!BD29</f>
        <v>0</v>
      </c>
      <c r="P43" s="54">
        <f>'SA Oct 2020'!BE29</f>
        <v>0</v>
      </c>
      <c r="Q43" s="110" t="str">
        <f t="shared" si="54"/>
        <v>No discount</v>
      </c>
      <c r="R43" s="73" t="str">
        <f t="shared" si="55"/>
        <v>Exclusive</v>
      </c>
      <c r="S43" s="111">
        <f t="shared" si="58"/>
        <v>6185.8334545454545</v>
      </c>
      <c r="T43" s="112">
        <f t="shared" si="59"/>
        <v>6185.8334545454545</v>
      </c>
      <c r="U43" s="97">
        <f t="shared" si="57"/>
        <v>6804.4168000000009</v>
      </c>
      <c r="V43" s="98">
        <f t="shared" si="57"/>
        <v>6804.4168000000009</v>
      </c>
      <c r="W43" s="55">
        <f>'SA Oct 2020'!BL29</f>
        <v>0</v>
      </c>
      <c r="X43" s="56" t="str">
        <f>'SA Oct 2020'!BM29</f>
        <v>n</v>
      </c>
    </row>
    <row r="44" spans="1:53" x14ac:dyDescent="0.15">
      <c r="A44" s="70" t="str">
        <f>'SA Oct 2020'!K30</f>
        <v>Momentum Energy</v>
      </c>
      <c r="B44" s="49" t="str">
        <f>'SA Oct 2020'!L30</f>
        <v>SmilePower Flexi</v>
      </c>
      <c r="C44" s="46">
        <f>IF('SA Oct 2020'!BP30=0,91*'SA Oct 2020'!M30/100,(91*'SA Oct 2020'!M30/100)+'SA Oct 2020'!BP30/4)</f>
        <v>89.072454545454548</v>
      </c>
      <c r="D44" s="46">
        <f>IF('SA Oct 2020'!O30="",$C$32*$C$33*'SA Oct 2020'!N30/100,IF($C$32*$C$33&gt;='SA Oct 2020'!P30,('SA Oct 2020'!P30*'SA Oct 2020'!N30/100),($C$32*$C$33*'SA Oct 2020'!N30/100)))</f>
        <v>1268.2727272727273</v>
      </c>
      <c r="E44" s="46">
        <f>IF(AND('SA Oct 2020'!P30&gt;0,'SA Oct 2020'!R30&gt;0),IF($C$32*$C$33&lt;'SA Oct 2020'!P30,0,IF($C$32*$C$33&lt;=('SA Oct 2020'!R30+'SA Oct 2020'!P30),(($C$32*$C$33-'SA Oct 2020'!P30)*'SA Oct 2020'!Q30/100),(('SA Oct 2020'!R30)*'SA Oct 2020'!Q30/100))),0)</f>
        <v>0</v>
      </c>
      <c r="F44" s="46">
        <f>IF(AND('SA Oct 2020'!R30&gt;0,'SA Oct 2020'!T30&gt;0),IF(($C$32*$C$33&lt;'SA Oct 2020'!T30),(0),($C$32*$C$33-'SA Oct 2020'!T30)*'SA Oct 2020'!U30/100),IF(AND('SA Oct 2020'!R30&gt;0,'SA Oct 2020'!T30=""),IF(($C$32*$C$33&lt;'SA Oct 2020'!R30+'SA Oct 2020'!P30),(0),(($C$32*$C$33-('SA Oct 2020'!R30+'SA Oct 2020'!P30))*'SA Oct 2020'!S30/100)),IF(AND('SA Oct 2020'!P30&gt;0,'SA Oct 2020'!R30=""&gt;0),IF(($C$32*$C$33&lt;'SA Oct 2020'!P30),(0),($C$32*$C$33-'SA Oct 2020'!P30)*'SA Oct 2020'!Q30/100),0)))</f>
        <v>0</v>
      </c>
      <c r="G44" s="50">
        <f>($C$32*$C$34)*'SA Oct 2020'!AF30/100</f>
        <v>319.63636363636363</v>
      </c>
      <c r="H44" s="51">
        <v>0</v>
      </c>
      <c r="I44" s="52">
        <f t="shared" si="51"/>
        <v>1676.9815454545455</v>
      </c>
      <c r="J44" s="109">
        <f t="shared" si="56"/>
        <v>6351.636363636364</v>
      </c>
      <c r="K44" s="109">
        <f t="shared" si="52"/>
        <v>6707.9261818181822</v>
      </c>
      <c r="L44" s="53">
        <f t="shared" si="53"/>
        <v>7378.7188000000006</v>
      </c>
      <c r="M44" s="54">
        <f>'SA Oct 2020'!BB30</f>
        <v>0</v>
      </c>
      <c r="N44" s="54">
        <f>'SA Oct 2020'!BC30</f>
        <v>0</v>
      </c>
      <c r="O44" s="54">
        <f>'SA Oct 2020'!BD30</f>
        <v>0</v>
      </c>
      <c r="P44" s="54">
        <f>'SA Oct 2020'!BE30</f>
        <v>0</v>
      </c>
      <c r="Q44" s="110" t="str">
        <f>IF(SUM(M44:P44)=0,"No discount",IF(M44&gt;0,"Guaranteed off bill",IF(N44&gt;0,"Guaranteed off usage",IF(O44&gt;0,"Pay-on-time off bill","Pay-on-time off usage"))))</f>
        <v>No discount</v>
      </c>
      <c r="R44" s="73" t="str">
        <f t="shared" si="55"/>
        <v>Exclusive</v>
      </c>
      <c r="S44" s="111">
        <f t="shared" si="58"/>
        <v>6707.9261818181822</v>
      </c>
      <c r="T44" s="112">
        <f t="shared" si="59"/>
        <v>6707.9261818181822</v>
      </c>
      <c r="U44" s="97">
        <f t="shared" si="57"/>
        <v>7378.7188000000006</v>
      </c>
      <c r="V44" s="98">
        <f t="shared" si="57"/>
        <v>7378.7188000000006</v>
      </c>
      <c r="W44" s="55">
        <f>'SA Oct 2020'!BL30</f>
        <v>0</v>
      </c>
      <c r="X44" s="56" t="str">
        <f>'SA Oct 2020'!BM30</f>
        <v>n</v>
      </c>
    </row>
    <row r="45" spans="1:53" x14ac:dyDescent="0.15">
      <c r="A45" s="70" t="str">
        <f>'SA Oct 2020'!K31</f>
        <v>Origin Energy</v>
      </c>
      <c r="B45" s="49" t="str">
        <f>'SA Oct 2020'!L31</f>
        <v xml:space="preserve">Flexi </v>
      </c>
      <c r="C45" s="46">
        <f>IF('SA Oct 2020'!BP31=0,91*'SA Oct 2020'!M31/100,(91*'SA Oct 2020'!M31/100)+'SA Oct 2020'!BP31/4)</f>
        <v>74.669636363636357</v>
      </c>
      <c r="D45" s="46">
        <f>IF('SA Oct 2020'!O31="",$C$32*$C$33*'SA Oct 2020'!N31/100,IF($C$32*$C$33&gt;='SA Oct 2020'!P31,('SA Oct 2020'!P31*'SA Oct 2020'!N31/100),($C$32*$C$33*'SA Oct 2020'!N31/100)))</f>
        <v>1268.9090909090908</v>
      </c>
      <c r="E45" s="46">
        <f>IF(AND('SA Oct 2020'!P31&gt;0,'SA Oct 2020'!R31&gt;0),IF($C$32*$C$33&lt;'SA Oct 2020'!P31,0,IF($C$32*$C$33&lt;=('SA Oct 2020'!R31+'SA Oct 2020'!P31),(($C$32*$C$33-'SA Oct 2020'!P31)*'SA Oct 2020'!Q31/100),(('SA Oct 2020'!R31)*'SA Oct 2020'!Q31/100))),0)</f>
        <v>0</v>
      </c>
      <c r="F45" s="46">
        <f>IF(AND('SA Oct 2020'!R31&gt;0,'SA Oct 2020'!T31&gt;0),IF(($C$32*$C$33&lt;'SA Oct 2020'!T31),(0),($C$32*$C$33-'SA Oct 2020'!T31)*'SA Oct 2020'!U31/100),IF(AND('SA Oct 2020'!R31&gt;0,'SA Oct 2020'!T31=""),IF(($C$32*$C$33&lt;'SA Oct 2020'!R31+'SA Oct 2020'!P31),(0),(($C$32*$C$33-('SA Oct 2020'!R31+'SA Oct 2020'!P31))*'SA Oct 2020'!S31/100)),IF(AND('SA Oct 2020'!P31&gt;0,'SA Oct 2020'!R31=""&gt;0),IF(($C$32*$C$33&lt;'SA Oct 2020'!P31),(0),($C$32*$C$33-'SA Oct 2020'!P31)*'SA Oct 2020'!Q31/100),0)))</f>
        <v>0</v>
      </c>
      <c r="G45" s="50">
        <f>($C$32*$C$34)*'SA Oct 2020'!AF31/100</f>
        <v>250.77272727272728</v>
      </c>
      <c r="H45" s="51">
        <v>0</v>
      </c>
      <c r="I45" s="52">
        <f t="shared" si="51"/>
        <v>1594.3514545454543</v>
      </c>
      <c r="J45" s="109">
        <f t="shared" si="56"/>
        <v>6078.7272727272721</v>
      </c>
      <c r="K45" s="109">
        <f t="shared" si="52"/>
        <v>6377.4058181818173</v>
      </c>
      <c r="L45" s="53">
        <f t="shared" si="53"/>
        <v>7015.1463999999996</v>
      </c>
      <c r="M45" s="54">
        <f>'SA Oct 2020'!BB31</f>
        <v>14</v>
      </c>
      <c r="N45" s="54">
        <f>'SA Oct 2020'!BC31</f>
        <v>0</v>
      </c>
      <c r="O45" s="54">
        <f>'SA Oct 2020'!BD31</f>
        <v>0</v>
      </c>
      <c r="P45" s="54">
        <f>'SA Oct 2020'!BE31</f>
        <v>0</v>
      </c>
      <c r="Q45" s="110" t="str">
        <f t="shared" ref="Q45:Q51" si="60">IF(SUM(M45:P45)=0,"No discount",IF(M45&gt;0,"Guaranteed off bill",IF(N45&gt;0,"Guaranteed off usage",IF(O45&gt;0,"Pay-on-time off bill","Pay-on-time off usage"))))</f>
        <v>Guaranteed off bill</v>
      </c>
      <c r="R45" s="73" t="str">
        <f t="shared" si="55"/>
        <v>Inclusive</v>
      </c>
      <c r="S45" s="111">
        <f t="shared" si="58"/>
        <v>5484.569003636363</v>
      </c>
      <c r="T45" s="112">
        <f t="shared" si="59"/>
        <v>5484.569003636363</v>
      </c>
      <c r="U45" s="97">
        <f t="shared" si="57"/>
        <v>6033.0259040000001</v>
      </c>
      <c r="V45" s="98">
        <f t="shared" si="57"/>
        <v>6033.0259040000001</v>
      </c>
      <c r="W45" s="55">
        <f>'SA Oct 2020'!BL31</f>
        <v>0</v>
      </c>
      <c r="X45" s="56" t="str">
        <f>'SA Oct 2020'!BM31</f>
        <v>n</v>
      </c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295"/>
      <c r="AN45" s="295"/>
      <c r="AO45" s="295"/>
      <c r="AP45" s="295"/>
      <c r="AQ45" s="295"/>
      <c r="AR45" s="295"/>
      <c r="AS45" s="295"/>
      <c r="AT45" s="295"/>
      <c r="AU45" s="295"/>
      <c r="AV45" s="295"/>
      <c r="AW45" s="295"/>
      <c r="AX45" s="295"/>
      <c r="AY45" s="295"/>
      <c r="AZ45" s="295"/>
      <c r="BA45" s="295"/>
    </row>
    <row r="46" spans="1:53" x14ac:dyDescent="0.15">
      <c r="A46" s="70" t="str">
        <f>'SA Oct 2020'!K32</f>
        <v>Powerdirect</v>
      </c>
      <c r="B46" s="49" t="str">
        <f>'SA Oct 2020'!L32</f>
        <v>Business Rate Saver</v>
      </c>
      <c r="C46" s="46">
        <f>IF('SA Oct 2020'!BP32=0,91*'SA Oct 2020'!M32/100,(91*'SA Oct 2020'!M32/100)+'SA Oct 2020'!BP32/4)</f>
        <v>70.458818181818174</v>
      </c>
      <c r="D46" s="46">
        <f>IF('SA Oct 2020'!O32="",$C$32*$C$33*'SA Oct 2020'!N32/100,IF($C$32*$C$33&gt;='SA Oct 2020'!P32,('SA Oct 2020'!P32*'SA Oct 2020'!N32/100),($C$32*$C$33*'SA Oct 2020'!N32/100)))</f>
        <v>1099.6363636363637</v>
      </c>
      <c r="E46" s="46">
        <f>IF(AND('SA Oct 2020'!P32&gt;0,'SA Oct 2020'!R32&gt;0),IF($C$32*$C$33&lt;'SA Oct 2020'!P32,0,IF($C$32*$C$33&lt;=('SA Oct 2020'!R32+'SA Oct 2020'!P32),(($C$32*$C$33-'SA Oct 2020'!P32)*'SA Oct 2020'!Q32/100),(('SA Oct 2020'!R32)*'SA Oct 2020'!Q32/100))),0)</f>
        <v>0</v>
      </c>
      <c r="F46" s="46">
        <f>IF(AND('SA Oct 2020'!R32&gt;0,'SA Oct 2020'!T32&gt;0),IF(($C$32*$C$33&lt;'SA Oct 2020'!T32),(0),($C$32*$C$33-'SA Oct 2020'!T32)*'SA Oct 2020'!U32/100),IF(AND('SA Oct 2020'!R32&gt;0,'SA Oct 2020'!T32=""),IF(($C$32*$C$33&lt;'SA Oct 2020'!R32+'SA Oct 2020'!P32),(0),(($C$32*$C$33-('SA Oct 2020'!R32+'SA Oct 2020'!P32))*'SA Oct 2020'!S32/100)),IF(AND('SA Oct 2020'!P32&gt;0,'SA Oct 2020'!R32=""&gt;0),IF(($C$32*$C$33&lt;'SA Oct 2020'!P32),(0),($C$32*$C$33-'SA Oct 2020'!P32)*'SA Oct 2020'!Q32/100),0)))</f>
        <v>0</v>
      </c>
      <c r="G46" s="50">
        <f>($C$32*$C$34)*'SA Oct 2020'!AF32/100</f>
        <v>221.72727272727272</v>
      </c>
      <c r="H46" s="51">
        <v>0</v>
      </c>
      <c r="I46" s="52">
        <f t="shared" si="51"/>
        <v>1391.8224545454548</v>
      </c>
      <c r="J46" s="109">
        <f t="shared" si="56"/>
        <v>5285.454545454546</v>
      </c>
      <c r="K46" s="109">
        <f t="shared" si="52"/>
        <v>5567.2898181818191</v>
      </c>
      <c r="L46" s="53">
        <f t="shared" si="53"/>
        <v>6124.0188000000016</v>
      </c>
      <c r="M46" s="54">
        <f>'SA Oct 2020'!BB32</f>
        <v>0</v>
      </c>
      <c r="N46" s="54">
        <f>'SA Oct 2020'!BC32</f>
        <v>0</v>
      </c>
      <c r="O46" s="54">
        <f>'SA Oct 2020'!BD32</f>
        <v>0</v>
      </c>
      <c r="P46" s="54">
        <f>'SA Oct 2020'!BE32</f>
        <v>0</v>
      </c>
      <c r="Q46" s="110" t="str">
        <f t="shared" si="60"/>
        <v>No discount</v>
      </c>
      <c r="R46" s="73" t="str">
        <f t="shared" si="55"/>
        <v>Exclusive</v>
      </c>
      <c r="S46" s="111">
        <f t="shared" si="58"/>
        <v>5567.2898181818191</v>
      </c>
      <c r="T46" s="112">
        <f t="shared" si="59"/>
        <v>5567.2898181818191</v>
      </c>
      <c r="U46" s="97">
        <f t="shared" si="57"/>
        <v>6124.0188000000016</v>
      </c>
      <c r="V46" s="98">
        <f t="shared" si="57"/>
        <v>6124.0188000000016</v>
      </c>
      <c r="W46" s="55">
        <f>'SA Oct 2020'!BL32</f>
        <v>0</v>
      </c>
      <c r="X46" s="56" t="str">
        <f>'SA Oct 2020'!BM32</f>
        <v>n</v>
      </c>
    </row>
    <row r="47" spans="1:53" x14ac:dyDescent="0.15">
      <c r="A47" s="70" t="str">
        <f>'SA Oct 2020'!K33</f>
        <v>Red Energy</v>
      </c>
      <c r="B47" s="49" t="str">
        <f>'SA Oct 2020'!L33</f>
        <v>Red Business Saver</v>
      </c>
      <c r="C47" s="46">
        <f>IF('SA Oct 2020'!BP33=0,91*'SA Oct 2020'!M33/100,(91*'SA Oct 2020'!M33/100)+'SA Oct 2020'!BP33/4)</f>
        <v>79.260999999999996</v>
      </c>
      <c r="D47" s="46">
        <f>IF('SA Oct 2020'!O33="",$C$32*$C$33*'SA Oct 2020'!N33/100,IF($C$32*$C$33&gt;='SA Oct 2020'!P33,('SA Oct 2020'!P33*'SA Oct 2020'!N33/100),($C$32*$C$33*'SA Oct 2020'!N33/100)))</f>
        <v>1228.4999999999998</v>
      </c>
      <c r="E47" s="46">
        <f>IF(AND('SA Oct 2020'!P33&gt;0,'SA Oct 2020'!R33&gt;0),IF($C$32*$C$33&lt;'SA Oct 2020'!P33,0,IF($C$32*$C$33&lt;=('SA Oct 2020'!R33+'SA Oct 2020'!P33),(($C$32*$C$33-'SA Oct 2020'!P33)*'SA Oct 2020'!Q33/100),(('SA Oct 2020'!R33)*'SA Oct 2020'!Q33/100))),0)</f>
        <v>0</v>
      </c>
      <c r="F47" s="46">
        <f>IF(AND('SA Oct 2020'!R33&gt;0,'SA Oct 2020'!T33&gt;0),IF(($C$32*$C$33&lt;'SA Oct 2020'!T33),(0),($C$32*$C$33-'SA Oct 2020'!T33)*'SA Oct 2020'!U33/100),IF(AND('SA Oct 2020'!R33&gt;0,'SA Oct 2020'!T33=""),IF(($C$32*$C$33&lt;'SA Oct 2020'!R33+'SA Oct 2020'!P33),(0),(($C$32*$C$33-('SA Oct 2020'!R33+'SA Oct 2020'!P33))*'SA Oct 2020'!S33/100)),IF(AND('SA Oct 2020'!P33&gt;0,'SA Oct 2020'!R33=""&gt;0),IF(($C$32*$C$33&lt;'SA Oct 2020'!P33),(0),($C$32*$C$33-'SA Oct 2020'!P33)*'SA Oct 2020'!Q33/100),0)))</f>
        <v>0</v>
      </c>
      <c r="G47" s="50">
        <f>($C$32*$C$34)*'SA Oct 2020'!AF33/100</f>
        <v>289.49999999999994</v>
      </c>
      <c r="H47" s="51">
        <v>0</v>
      </c>
      <c r="I47" s="52">
        <f t="shared" si="51"/>
        <v>1597.2609999999997</v>
      </c>
      <c r="J47" s="109">
        <f t="shared" si="56"/>
        <v>6071.9999999999991</v>
      </c>
      <c r="K47" s="109">
        <f t="shared" si="52"/>
        <v>6389.043999999999</v>
      </c>
      <c r="L47" s="53">
        <f t="shared" si="53"/>
        <v>7027.9483999999993</v>
      </c>
      <c r="M47" s="54">
        <f>'SA Oct 2020'!BB33</f>
        <v>0</v>
      </c>
      <c r="N47" s="54">
        <f>'SA Oct 2020'!BC33</f>
        <v>0</v>
      </c>
      <c r="O47" s="54">
        <f>'SA Oct 2020'!BD33</f>
        <v>0</v>
      </c>
      <c r="P47" s="54">
        <f>'SA Oct 2020'!BE33</f>
        <v>0</v>
      </c>
      <c r="Q47" s="110" t="str">
        <f t="shared" si="60"/>
        <v>No discount</v>
      </c>
      <c r="R47" s="73" t="str">
        <f t="shared" si="55"/>
        <v>Inclusive</v>
      </c>
      <c r="S47" s="111">
        <f t="shared" si="58"/>
        <v>6389.043999999999</v>
      </c>
      <c r="T47" s="112">
        <f t="shared" si="59"/>
        <v>6389.043999999999</v>
      </c>
      <c r="U47" s="97">
        <f t="shared" si="57"/>
        <v>7027.9483999999993</v>
      </c>
      <c r="V47" s="98">
        <f t="shared" si="57"/>
        <v>7027.9483999999993</v>
      </c>
      <c r="W47" s="55">
        <f>'SA Oct 2020'!BL33</f>
        <v>0</v>
      </c>
      <c r="X47" s="56" t="str">
        <f>'SA Oct 2020'!BM33</f>
        <v>n</v>
      </c>
    </row>
    <row r="48" spans="1:53" x14ac:dyDescent="0.15">
      <c r="A48" s="70" t="str">
        <f>'SA Oct 2020'!K34</f>
        <v>Simply Energy</v>
      </c>
      <c r="B48" s="49" t="str">
        <f>'SA Oct 2020'!L34</f>
        <v>Business Saver</v>
      </c>
      <c r="C48" s="46">
        <f>IF('SA Oct 2020'!BP34=0,91*'SA Oct 2020'!M34/100,(91*'SA Oct 2020'!M34/100)+'SA Oct 2020'!BP34/4)</f>
        <v>83.769636363636366</v>
      </c>
      <c r="D48" s="46">
        <f>IF('SA Oct 2020'!O34="",$C$32*$C$33*'SA Oct 2020'!N34/100,IF($C$32*$C$33&gt;='SA Oct 2020'!P34,('SA Oct 2020'!P34*'SA Oct 2020'!N34/100),($C$32*$C$33*'SA Oct 2020'!N34/100)))</f>
        <v>1262.5454545454545</v>
      </c>
      <c r="E48" s="46">
        <f>IF(AND('SA Oct 2020'!P34&gt;0,'SA Oct 2020'!R34&gt;0),IF($C$32*$C$33&lt;'SA Oct 2020'!P34,0,IF($C$32*$C$33&lt;=('SA Oct 2020'!R34+'SA Oct 2020'!P34),(($C$32*$C$33-'SA Oct 2020'!P34)*'SA Oct 2020'!Q34/100),(('SA Oct 2020'!R34)*'SA Oct 2020'!Q34/100))),0)</f>
        <v>0</v>
      </c>
      <c r="F48" s="46">
        <f>IF(AND('SA Oct 2020'!R34&gt;0,'SA Oct 2020'!T34&gt;0),IF(($C$32*$C$33&lt;'SA Oct 2020'!T34),(0),($C$32*$C$33-'SA Oct 2020'!T34)*'SA Oct 2020'!U34/100),IF(AND('SA Oct 2020'!R34&gt;0,'SA Oct 2020'!T34=""),IF(($C$32*$C$33&lt;'SA Oct 2020'!R34+'SA Oct 2020'!P34),(0),(($C$32*$C$33-('SA Oct 2020'!R34+'SA Oct 2020'!P34))*'SA Oct 2020'!S34/100)),IF(AND('SA Oct 2020'!P34&gt;0,'SA Oct 2020'!R34=""&gt;0),IF(($C$32*$C$33&lt;'SA Oct 2020'!P34),(0),($C$32*$C$33-'SA Oct 2020'!P34)*'SA Oct 2020'!Q34/100),0)))</f>
        <v>0</v>
      </c>
      <c r="G48" s="50">
        <f>($C$32*$C$34)*'SA Oct 2020'!AF34/100</f>
        <v>257.59090909090907</v>
      </c>
      <c r="H48" s="51">
        <v>0</v>
      </c>
      <c r="I48" s="52">
        <f t="shared" si="51"/>
        <v>1603.9059999999999</v>
      </c>
      <c r="J48" s="109">
        <f t="shared" si="56"/>
        <v>6080.545454545454</v>
      </c>
      <c r="K48" s="109">
        <f t="shared" si="52"/>
        <v>6415.6239999999998</v>
      </c>
      <c r="L48" s="53">
        <f t="shared" si="53"/>
        <v>7057.1864000000005</v>
      </c>
      <c r="M48" s="54">
        <f>'SA Oct 2020'!BB34</f>
        <v>11</v>
      </c>
      <c r="N48" s="54">
        <f>'SA Oct 2020'!BC34</f>
        <v>0</v>
      </c>
      <c r="O48" s="54">
        <f>'SA Oct 2020'!BD34</f>
        <v>0</v>
      </c>
      <c r="P48" s="54">
        <f>'SA Oct 2020'!BE34</f>
        <v>0</v>
      </c>
      <c r="Q48" s="110" t="str">
        <f t="shared" si="60"/>
        <v>Guaranteed off bill</v>
      </c>
      <c r="R48" s="73" t="str">
        <f t="shared" si="55"/>
        <v>Exclusive</v>
      </c>
      <c r="S48" s="111">
        <f t="shared" si="58"/>
        <v>5709.9053599999997</v>
      </c>
      <c r="T48" s="112">
        <f t="shared" si="59"/>
        <v>5709.9053599999997</v>
      </c>
      <c r="U48" s="97">
        <f t="shared" si="57"/>
        <v>6280.895896</v>
      </c>
      <c r="V48" s="98">
        <f t="shared" si="57"/>
        <v>6280.895896</v>
      </c>
      <c r="W48" s="55">
        <f>'SA Oct 2020'!BL34</f>
        <v>0</v>
      </c>
      <c r="X48" s="56" t="str">
        <f>'SA Oct 2020'!BM34</f>
        <v>n</v>
      </c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295"/>
      <c r="AN48" s="295"/>
      <c r="AO48" s="295"/>
      <c r="AP48" s="295"/>
      <c r="AQ48" s="295"/>
      <c r="AR48" s="295"/>
      <c r="AS48" s="295"/>
      <c r="AT48" s="295"/>
      <c r="AU48" s="295"/>
      <c r="AV48" s="295"/>
      <c r="AW48" s="295"/>
      <c r="AX48" s="295"/>
      <c r="AY48" s="295"/>
      <c r="AZ48" s="295"/>
      <c r="BA48" s="295"/>
    </row>
    <row r="49" spans="1:53" x14ac:dyDescent="0.15">
      <c r="A49" s="70" t="str">
        <f>'SA Oct 2020'!K35</f>
        <v>Powershop</v>
      </c>
      <c r="B49" s="49" t="str">
        <f>'SA Oct 2020'!L35</f>
        <v>Shopper with Mega Pack</v>
      </c>
      <c r="C49" s="46">
        <f>IF('SA Oct 2020'!BP35=0,91*'SA Oct 2020'!M35/100,(91*'SA Oct 2020'!M35/100)+'SA Oct 2020'!BP35/4)</f>
        <v>109.82045454545454</v>
      </c>
      <c r="D49" s="46">
        <f>IF('SA Oct 2020'!O35="",$C$32*$C$33*'SA Oct 2020'!N35/100,IF($C$32*$C$33&gt;='SA Oct 2020'!P35,('SA Oct 2020'!P35*'SA Oct 2020'!N35/100),($C$32*$C$33*'SA Oct 2020'!N35/100)))</f>
        <v>1182.681818181818</v>
      </c>
      <c r="E49" s="46">
        <f>IF(AND('SA Oct 2020'!P35&gt;0,'SA Oct 2020'!R35&gt;0),IF($C$32*$C$33&lt;'SA Oct 2020'!P35,0,IF($C$32*$C$33&lt;=('SA Oct 2020'!R35+'SA Oct 2020'!P35),(($C$32*$C$33-'SA Oct 2020'!P35)*'SA Oct 2020'!Q35/100),(('SA Oct 2020'!R35)*'SA Oct 2020'!Q35/100))),0)</f>
        <v>0</v>
      </c>
      <c r="F49" s="46">
        <f>IF(AND('SA Oct 2020'!R35&gt;0,'SA Oct 2020'!T35&gt;0),IF(($C$32*$C$33&lt;'SA Oct 2020'!T35),(0),($C$32*$C$33-'SA Oct 2020'!T35)*'SA Oct 2020'!U35/100),IF(AND('SA Oct 2020'!R35&gt;0,'SA Oct 2020'!T35=""),IF(($C$32*$C$33&lt;'SA Oct 2020'!R35+'SA Oct 2020'!P35),(0),(($C$32*$C$33-('SA Oct 2020'!R35+'SA Oct 2020'!P35))*'SA Oct 2020'!S35/100)),IF(AND('SA Oct 2020'!P35&gt;0,'SA Oct 2020'!R35=""&gt;0),IF(($C$32*$C$33&lt;'SA Oct 2020'!P35),(0),($C$32*$C$33-'SA Oct 2020'!P35)*'SA Oct 2020'!Q35/100),0)))</f>
        <v>0</v>
      </c>
      <c r="G49" s="50">
        <f>($C$32*$C$34)*'SA Oct 2020'!AF35/100</f>
        <v>246.13636363636363</v>
      </c>
      <c r="H49" s="51">
        <v>0</v>
      </c>
      <c r="I49" s="52">
        <f t="shared" si="51"/>
        <v>1538.6386363636361</v>
      </c>
      <c r="J49" s="109">
        <f t="shared" si="56"/>
        <v>5715.2727272727261</v>
      </c>
      <c r="K49" s="109">
        <f t="shared" si="52"/>
        <v>6154.5545454545445</v>
      </c>
      <c r="L49" s="53">
        <f t="shared" si="53"/>
        <v>6770.0099999999993</v>
      </c>
      <c r="M49" s="54">
        <f>'SA Oct 2020'!BB35</f>
        <v>0</v>
      </c>
      <c r="N49" s="54">
        <f>'SA Oct 2020'!BC35</f>
        <v>0</v>
      </c>
      <c r="O49" s="54">
        <f>'SA Oct 2020'!BD35</f>
        <v>6</v>
      </c>
      <c r="P49" s="54">
        <f>'SA Oct 2020'!BE35</f>
        <v>0</v>
      </c>
      <c r="Q49" s="110" t="str">
        <f t="shared" si="60"/>
        <v>Pay-on-time off bill</v>
      </c>
      <c r="R49" s="73" t="str">
        <f t="shared" si="55"/>
        <v>Inclusive</v>
      </c>
      <c r="S49" s="111">
        <f t="shared" si="58"/>
        <v>6154.5545454545445</v>
      </c>
      <c r="T49" s="112">
        <f t="shared" si="59"/>
        <v>5785.2812727272712</v>
      </c>
      <c r="U49" s="97">
        <f t="shared" si="57"/>
        <v>6770.0099999999993</v>
      </c>
      <c r="V49" s="98">
        <f t="shared" si="57"/>
        <v>6363.8093999999992</v>
      </c>
      <c r="W49" s="55">
        <f>'SA Oct 2020'!BL35</f>
        <v>0</v>
      </c>
      <c r="X49" s="56" t="str">
        <f>'SA Oct 2020'!BM35</f>
        <v>n</v>
      </c>
    </row>
    <row r="50" spans="1:53" x14ac:dyDescent="0.15">
      <c r="A50" s="70" t="str">
        <f>'SA Oct 2020'!K36</f>
        <v>Energy Locals</v>
      </c>
      <c r="B50" s="49" t="str">
        <f>'SA Oct 2020'!L36</f>
        <v>Business Member</v>
      </c>
      <c r="C50" s="46">
        <f>IF('SA Oct 2020'!BP36=0,91*'SA Oct 2020'!M36/100,(91*'SA Oct 2020'!M36/100)+'SA Oct 2020'!BP36/4)</f>
        <v>113.26281818181815</v>
      </c>
      <c r="D50" s="46">
        <f>IF('SA Oct 2020'!O36="",$C$32*$C$33*'SA Oct 2020'!N36/100,IF($C$32*$C$33&gt;='SA Oct 2020'!P36,('SA Oct 2020'!P36*'SA Oct 2020'!N36/100),($C$32*$C$33*'SA Oct 2020'!N36/100)))</f>
        <v>922.72727272727263</v>
      </c>
      <c r="E50" s="46">
        <f>IF(AND('SA Oct 2020'!P36&gt;0,'SA Oct 2020'!R36&gt;0),IF($C$32*$C$33&lt;'SA Oct 2020'!P36,0,IF($C$32*$C$33&lt;=('SA Oct 2020'!R36+'SA Oct 2020'!P36),(($C$32*$C$33-'SA Oct 2020'!P36)*'SA Oct 2020'!Q36/100),(('SA Oct 2020'!R36)*'SA Oct 2020'!Q36/100))),0)</f>
        <v>0</v>
      </c>
      <c r="F50" s="46">
        <f>IF(AND('SA Oct 2020'!R36&gt;0,'SA Oct 2020'!T36&gt;0),IF(($C$32*$C$33&lt;'SA Oct 2020'!T36),(0),($C$32*$C$33-'SA Oct 2020'!T36)*'SA Oct 2020'!U36/100),IF(AND('SA Oct 2020'!R36&gt;0,'SA Oct 2020'!T36=""),IF(($C$32*$C$33&lt;'SA Oct 2020'!R36+'SA Oct 2020'!P36),(0),(($C$32*$C$33-('SA Oct 2020'!R36+'SA Oct 2020'!P36))*'SA Oct 2020'!S36/100)),IF(AND('SA Oct 2020'!P36&gt;0,'SA Oct 2020'!R36=""&gt;0),IF(($C$32*$C$33&lt;'SA Oct 2020'!P36),(0),($C$32*$C$33-'SA Oct 2020'!P36)*'SA Oct 2020'!Q36/100),0)))</f>
        <v>0</v>
      </c>
      <c r="G50" s="50">
        <f>($C$32*$C$34)*'SA Oct 2020'!AF36/100</f>
        <v>245.45454545454544</v>
      </c>
      <c r="H50" s="51">
        <v>0</v>
      </c>
      <c r="I50" s="52">
        <f t="shared" si="51"/>
        <v>1281.4446363636362</v>
      </c>
      <c r="J50" s="109">
        <f t="shared" si="56"/>
        <v>4672.7272727272721</v>
      </c>
      <c r="K50" s="109">
        <f t="shared" si="52"/>
        <v>5125.7785454545447</v>
      </c>
      <c r="L50" s="53">
        <f t="shared" si="53"/>
        <v>5638.3563999999997</v>
      </c>
      <c r="M50" s="54">
        <f>'SA Oct 2020'!BB36</f>
        <v>0</v>
      </c>
      <c r="N50" s="54">
        <f>'SA Oct 2020'!BC36</f>
        <v>0</v>
      </c>
      <c r="O50" s="54">
        <f>'SA Oct 2020'!BD36</f>
        <v>0</v>
      </c>
      <c r="P50" s="54">
        <f>'SA Oct 2020'!BE36</f>
        <v>0</v>
      </c>
      <c r="Q50" s="110" t="str">
        <f t="shared" si="60"/>
        <v>No discount</v>
      </c>
      <c r="R50" s="73" t="str">
        <f t="shared" si="55"/>
        <v>Exclusive</v>
      </c>
      <c r="S50" s="111">
        <f t="shared" si="58"/>
        <v>5125.7785454545447</v>
      </c>
      <c r="T50" s="112">
        <f t="shared" si="59"/>
        <v>5125.7785454545447</v>
      </c>
      <c r="U50" s="97">
        <f t="shared" si="57"/>
        <v>5638.3563999999997</v>
      </c>
      <c r="V50" s="98">
        <f t="shared" si="57"/>
        <v>5638.3563999999997</v>
      </c>
      <c r="W50" s="55">
        <f>'SA Oct 2020'!BL36</f>
        <v>0</v>
      </c>
      <c r="X50" s="56" t="str">
        <f>'SA Oct 2020'!BM36</f>
        <v>n</v>
      </c>
    </row>
    <row r="51" spans="1:53" x14ac:dyDescent="0.15">
      <c r="A51" s="70" t="str">
        <f>'SA Oct 2020'!K37</f>
        <v>Future X Power</v>
      </c>
      <c r="B51" s="49" t="str">
        <f>'SA Oct 2020'!L37</f>
        <v>Business Smart</v>
      </c>
      <c r="C51" s="46">
        <f>IF('SA Oct 2020'!BP37=0,91*'SA Oct 2020'!M37/100,(91*'SA Oct 2020'!M37/100)+'SA Oct 2020'!BP37/4)</f>
        <v>78.077999999999989</v>
      </c>
      <c r="D51" s="46">
        <f>IF('SA Oct 2020'!O37="",$C$32*$C$33*'SA Oct 2020'!N37/100,IF($C$32*$C$33&gt;='SA Oct 2020'!P37,('SA Oct 2020'!P37*'SA Oct 2020'!N37/100),($C$32*$C$33*'SA Oct 2020'!N37/100)))</f>
        <v>1064.6363636363637</v>
      </c>
      <c r="E51" s="46">
        <f>IF(AND('SA Oct 2020'!P37&gt;0,'SA Oct 2020'!R37&gt;0),IF($C$32*$C$33&lt;'SA Oct 2020'!P37,0,IF($C$32*$C$33&lt;=('SA Oct 2020'!R37+'SA Oct 2020'!P37),(($C$32*$C$33-'SA Oct 2020'!P37)*'SA Oct 2020'!Q37/100),(('SA Oct 2020'!R37)*'SA Oct 2020'!Q37/100))),0)</f>
        <v>0</v>
      </c>
      <c r="F51" s="46">
        <f>IF(AND('SA Oct 2020'!R37&gt;0,'SA Oct 2020'!T37&gt;0),IF(($C$32*$C$33&lt;'SA Oct 2020'!T37),(0),($C$32*$C$33-'SA Oct 2020'!T37)*'SA Oct 2020'!U37/100),IF(AND('SA Oct 2020'!R37&gt;0,'SA Oct 2020'!T37=""),IF(($C$32*$C$33&lt;'SA Oct 2020'!R37+'SA Oct 2020'!P37),(0),(($C$32*$C$33-('SA Oct 2020'!R37+'SA Oct 2020'!P37))*'SA Oct 2020'!S37/100)),IF(AND('SA Oct 2020'!P37&gt;0,'SA Oct 2020'!R37=""&gt;0),IF(($C$32*$C$33&lt;'SA Oct 2020'!P37),(0),($C$32*$C$33-'SA Oct 2020'!P37)*'SA Oct 2020'!Q37/100),0)))</f>
        <v>0</v>
      </c>
      <c r="G51" s="50">
        <f>($C$32*$C$34)*'SA Oct 2020'!AF37/100</f>
        <v>234.27272727272725</v>
      </c>
      <c r="H51" s="51">
        <v>0</v>
      </c>
      <c r="I51" s="52">
        <f t="shared" si="51"/>
        <v>1376.987090909091</v>
      </c>
      <c r="J51" s="111">
        <f t="shared" si="56"/>
        <v>5195.636363636364</v>
      </c>
      <c r="K51" s="109">
        <f t="shared" si="52"/>
        <v>5507.9483636363639</v>
      </c>
      <c r="L51" s="53">
        <f t="shared" si="53"/>
        <v>6058.7432000000008</v>
      </c>
      <c r="M51" s="54">
        <f>'SA Oct 2020'!BB37</f>
        <v>0</v>
      </c>
      <c r="N51" s="54">
        <f>'SA Oct 2020'!BC37</f>
        <v>0</v>
      </c>
      <c r="O51" s="54">
        <f>'SA Oct 2020'!BD37</f>
        <v>0</v>
      </c>
      <c r="P51" s="54">
        <f>'SA Oct 2020'!BE37</f>
        <v>0</v>
      </c>
      <c r="Q51" s="110" t="str">
        <f t="shared" si="60"/>
        <v>No discount</v>
      </c>
      <c r="R51" s="73" t="str">
        <f t="shared" si="55"/>
        <v>Exclusive</v>
      </c>
      <c r="S51" s="111">
        <f t="shared" si="58"/>
        <v>5507.9483636363639</v>
      </c>
      <c r="T51" s="112">
        <f t="shared" si="59"/>
        <v>5507.9483636363639</v>
      </c>
      <c r="U51" s="97">
        <f t="shared" si="57"/>
        <v>6058.7432000000008</v>
      </c>
      <c r="V51" s="268">
        <f t="shared" si="57"/>
        <v>6058.7432000000008</v>
      </c>
      <c r="W51" s="55">
        <f>'SA Oct 2020'!BL37</f>
        <v>0</v>
      </c>
      <c r="X51" s="56" t="str">
        <f>'SA Oct 2020'!BM37</f>
        <v>n</v>
      </c>
    </row>
    <row r="52" spans="1:53" x14ac:dyDescent="0.15">
      <c r="A52" s="70" t="str">
        <f>'SA Oct 2020'!K38</f>
        <v>Discover Energy</v>
      </c>
      <c r="B52" s="49" t="str">
        <f>'SA Oct 2020'!L38</f>
        <v>Business Smart Saver</v>
      </c>
      <c r="C52" s="46">
        <f>IF('SA Oct 2020'!BP38=0,91*'SA Oct 2020'!M38/100,(91*'SA Oct 2020'!M38/100)+'SA Oct 2020'!BP38/4)</f>
        <v>68.25</v>
      </c>
      <c r="D52" s="46">
        <f>IF('SA Oct 2020'!O38="",$C$32*$C$33*'SA Oct 2020'!N38/100,IF($C$32*$C$33&gt;='SA Oct 2020'!P38,('SA Oct 2020'!P38*'SA Oct 2020'!N38/100),($C$32*$C$33*'SA Oct 2020'!N38/100)))</f>
        <v>1273.3636363636363</v>
      </c>
      <c r="E52" s="46">
        <f>IF(AND('SA Oct 2020'!P38&gt;0,'SA Oct 2020'!R38&gt;0),IF($C$32*$C$33&lt;'SA Oct 2020'!P38,0,IF($C$32*$C$33&lt;=('SA Oct 2020'!R38+'SA Oct 2020'!P38),(($C$32*$C$33-'SA Oct 2020'!P38)*'SA Oct 2020'!Q38/100),(('SA Oct 2020'!R38)*'SA Oct 2020'!Q38/100))),0)</f>
        <v>0</v>
      </c>
      <c r="F52" s="46">
        <f>IF(AND('SA Oct 2020'!R38&gt;0,'SA Oct 2020'!T38&gt;0),IF(($C$32*$C$33&lt;'SA Oct 2020'!T38),(0),($C$32*$C$33-'SA Oct 2020'!T38)*'SA Oct 2020'!U38/100),IF(AND('SA Oct 2020'!R38&gt;0,'SA Oct 2020'!T38=""),IF(($C$32*$C$33&lt;'SA Oct 2020'!R38+'SA Oct 2020'!P38),(0),(($C$32*$C$33-('SA Oct 2020'!R38+'SA Oct 2020'!P38))*'SA Oct 2020'!S38/100)),IF(AND('SA Oct 2020'!P38&gt;0,'SA Oct 2020'!R38=""&gt;0),IF(($C$32*$C$33&lt;'SA Oct 2020'!P38),(0),($C$32*$C$33-'SA Oct 2020'!P38)*'SA Oct 2020'!Q38/100),0)))</f>
        <v>0</v>
      </c>
      <c r="G52" s="50">
        <f>($C$32*$C$34)*'SA Oct 2020'!AF38/100</f>
        <v>359.86363636363632</v>
      </c>
      <c r="H52" s="51">
        <v>0</v>
      </c>
      <c r="I52" s="52">
        <f t="shared" ref="I52" si="61">SUM(C52:G52)</f>
        <v>1701.4772727272725</v>
      </c>
      <c r="J52" s="111">
        <f t="shared" ref="J52" si="62">(I52-C52)*4</f>
        <v>6532.9090909090901</v>
      </c>
      <c r="K52" s="109">
        <f t="shared" ref="K52" si="63">I52*4</f>
        <v>6805.9090909090901</v>
      </c>
      <c r="L52" s="53">
        <f t="shared" ref="L52" si="64">K52*1.1</f>
        <v>7486.5</v>
      </c>
      <c r="M52" s="54">
        <f>'SA Oct 2020'!BB38</f>
        <v>0</v>
      </c>
      <c r="N52" s="54">
        <f>'SA Oct 2020'!BC38</f>
        <v>15</v>
      </c>
      <c r="O52" s="54">
        <f>'SA Oct 2020'!BD38</f>
        <v>0</v>
      </c>
      <c r="P52" s="54">
        <f>'SA Oct 2020'!BE38</f>
        <v>0</v>
      </c>
      <c r="Q52" s="110" t="str">
        <f t="shared" ref="Q52" si="65">IF(SUM(M52:P52)=0,"No discount",IF(M52&gt;0,"Guaranteed off bill",IF(N52&gt;0,"Guaranteed off usage",IF(O52&gt;0,"Pay-on-time off bill","Pay-on-time off usage"))))</f>
        <v>Guaranteed off usage</v>
      </c>
      <c r="R52" s="73" t="str">
        <f t="shared" ref="R52" si="66">IF(OR(A52="Origin Energy",A52="Red Energy",A52="Powershop"),"Inclusive","Exclusive")</f>
        <v>Exclusive</v>
      </c>
      <c r="S52" s="111">
        <f t="shared" ref="S52" si="67">IF(AND(Q52="Guaranteed off bill",R52="Inclusive"),((K52*1.1)-((K52*1.1)*M52/100))/1.1,IF(AND(Q52="Guaranteed off usage",R52="Inclusive"),((K52*1.1)-((J52*1.1)*N52/100))/1.1,IF(AND(Q52="Guaranteed off bill",R52="Exclusive"),K52-(K52*M52/100),IF(AND(Q52="Guaranteed off usage",R52="Exclusive"),K52-(J52*N52/100),IF(R52="Inclusive",((K52*1.1))/1.1,K52)))))</f>
        <v>5825.9727272727268</v>
      </c>
      <c r="T52" s="112">
        <f t="shared" ref="T52" si="68">IF(AND(Q52="Pay-on-time off bill",R52="Inclusive"),((S52*1.1)-((S52*1.1)*O52/100))/1.1,IF(AND(Q52="Pay-on-time off usage",R52="Inclusive"),((S52*1.1)-((J52*1.1)*P52/100))/1.1,IF(AND(Q52="Pay-on-time off bill",R52="Exclusive"),S52-(S52*O52/100),IF(AND(Q52="Pay-on-time off usage",R52="Exclusive"),S52-(J52*P52/100),IF(R52="Inclusive",((S52*1.1))/1.1,S52)))))</f>
        <v>5825.9727272727268</v>
      </c>
      <c r="U52" s="97">
        <f t="shared" ref="U52" si="69">S52*1.1</f>
        <v>6408.57</v>
      </c>
      <c r="V52" s="268">
        <f t="shared" ref="V52" si="70">T52*1.1</f>
        <v>6408.57</v>
      </c>
      <c r="W52" s="55">
        <f>'SA Oct 2020'!BL38</f>
        <v>0</v>
      </c>
      <c r="X52" s="56" t="str">
        <f>'SA Oct 2020'!BM38</f>
        <v>n</v>
      </c>
    </row>
    <row r="53" spans="1:53" ht="15" thickBot="1" x14ac:dyDescent="0.2">
      <c r="A53" s="71" t="str">
        <f>'SA Oct 2020'!K39</f>
        <v>ReAmped Energy</v>
      </c>
      <c r="B53" s="57" t="str">
        <f>'SA Oct 2020'!L39</f>
        <v>ReAmped Business</v>
      </c>
      <c r="C53" s="58">
        <f>IF('SA Oct 2020'!BP39=0,91*'SA Oct 2020'!M39/100,(91*'SA Oct 2020'!M39/100)+'SA Oct 2020'!BP39/4)</f>
        <v>84.63</v>
      </c>
      <c r="D53" s="58">
        <f>IF('SA Oct 2020'!O39="",$C$32*$C$33*'SA Oct 2020'!N39/100,IF($C$32*$C$33&gt;='SA Oct 2020'!P39,('SA Oct 2020'!P39*'SA Oct 2020'!N39/100),($C$32*$C$33*'SA Oct 2020'!N39/100)))</f>
        <v>938</v>
      </c>
      <c r="E53" s="58">
        <f>IF(AND('SA Oct 2020'!P39&gt;0,'SA Oct 2020'!R39&gt;0),IF($C$32*$C$33&lt;'SA Oct 2020'!P39,0,IF($C$32*$C$33&lt;=('SA Oct 2020'!R39+'SA Oct 2020'!P39),(($C$32*$C$33-'SA Oct 2020'!P39)*'SA Oct 2020'!Q39/100),(('SA Oct 2020'!R39)*'SA Oct 2020'!Q39/100))),0)</f>
        <v>0</v>
      </c>
      <c r="F53" s="58">
        <f>IF(AND('SA Oct 2020'!R39&gt;0,'SA Oct 2020'!T39&gt;0),IF(($C$32*$C$33&lt;'SA Oct 2020'!T39),(0),($C$32*$C$33-'SA Oct 2020'!T39)*'SA Oct 2020'!U39/100),IF(AND('SA Oct 2020'!R39&gt;0,'SA Oct 2020'!T39=""),IF(($C$32*$C$33&lt;'SA Oct 2020'!R39+'SA Oct 2020'!P39),(0),(($C$32*$C$33-('SA Oct 2020'!R39+'SA Oct 2020'!P39))*'SA Oct 2020'!S39/100)),IF(AND('SA Oct 2020'!P39&gt;0,'SA Oct 2020'!R39=""&gt;0),IF(($C$32*$C$33&lt;'SA Oct 2020'!P39),(0),($C$32*$C$33-'SA Oct 2020'!P39)*'SA Oct 2020'!Q39/100),0)))</f>
        <v>0</v>
      </c>
      <c r="G53" s="59">
        <f>($C$32*$C$34)*'SA Oct 2020'!AF39/100</f>
        <v>240</v>
      </c>
      <c r="H53" s="60">
        <v>0</v>
      </c>
      <c r="I53" s="61">
        <f t="shared" ref="I53" si="71">SUM(C53:G53)</f>
        <v>1262.6300000000001</v>
      </c>
      <c r="J53" s="113">
        <f t="shared" ref="J53" si="72">(I53-C53)*4</f>
        <v>4712</v>
      </c>
      <c r="K53" s="116">
        <f t="shared" ref="K53" si="73">I53*4</f>
        <v>5050.5200000000004</v>
      </c>
      <c r="L53" s="62">
        <f t="shared" ref="L53" si="74">K53*1.1</f>
        <v>5555.572000000001</v>
      </c>
      <c r="M53" s="63">
        <f>'SA Oct 2020'!BB39</f>
        <v>0</v>
      </c>
      <c r="N53" s="63">
        <f>'SA Oct 2020'!BC39</f>
        <v>0</v>
      </c>
      <c r="O53" s="63">
        <f>'SA Oct 2020'!BD39</f>
        <v>0</v>
      </c>
      <c r="P53" s="63">
        <f>'SA Oct 2020'!BE39</f>
        <v>0</v>
      </c>
      <c r="Q53" s="115" t="str">
        <f t="shared" ref="Q53" si="75">IF(SUM(M53:P53)=0,"No discount",IF(M53&gt;0,"Guaranteed off bill",IF(N53&gt;0,"Guaranteed off usage",IF(O53&gt;0,"Pay-on-time off bill","Pay-on-time off usage"))))</f>
        <v>No discount</v>
      </c>
      <c r="R53" s="72" t="str">
        <f t="shared" ref="R53" si="76">IF(OR(A53="Origin Energy",A53="Red Energy",A53="Powershop"),"Inclusive","Exclusive")</f>
        <v>Exclusive</v>
      </c>
      <c r="S53" s="113">
        <f t="shared" ref="S53" si="77">IF(AND(Q53="Guaranteed off bill",R53="Inclusive"),((K53*1.1)-((K53*1.1)*M53/100))/1.1,IF(AND(Q53="Guaranteed off usage",R53="Inclusive"),((K53*1.1)-((J53*1.1)*N53/100))/1.1,IF(AND(Q53="Guaranteed off bill",R53="Exclusive"),K53-(K53*M53/100),IF(AND(Q53="Guaranteed off usage",R53="Exclusive"),K53-(J53*N53/100),IF(R53="Inclusive",((K53*1.1))/1.1,K53)))))</f>
        <v>5050.5200000000004</v>
      </c>
      <c r="T53" s="114">
        <f t="shared" ref="T53" si="78">IF(AND(Q53="Pay-on-time off bill",R53="Inclusive"),((S53*1.1)-((S53*1.1)*O53/100))/1.1,IF(AND(Q53="Pay-on-time off usage",R53="Inclusive"),((S53*1.1)-((J53*1.1)*P53/100))/1.1,IF(AND(Q53="Pay-on-time off bill",R53="Exclusive"),S53-(S53*O53/100),IF(AND(Q53="Pay-on-time off usage",R53="Exclusive"),S53-(J53*P53/100),IF(R53="Inclusive",((S53*1.1))/1.1,S53)))))</f>
        <v>5050.5200000000004</v>
      </c>
      <c r="U53" s="99">
        <f t="shared" ref="U53" si="79">S53*1.1</f>
        <v>5555.572000000001</v>
      </c>
      <c r="V53" s="101">
        <f t="shared" ref="V53" si="80">T53*1.1</f>
        <v>5555.572000000001</v>
      </c>
      <c r="W53" s="64">
        <f>'SA Oct 2020'!BL39</f>
        <v>0</v>
      </c>
      <c r="X53" s="65" t="str">
        <f>'SA Oct 2020'!BM39</f>
        <v>n</v>
      </c>
    </row>
    <row r="55" spans="1:53" ht="15" thickBot="1" x14ac:dyDescent="0.2">
      <c r="F55" s="292"/>
      <c r="X55" s="292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295"/>
      <c r="AN55" s="295"/>
      <c r="AO55" s="295"/>
      <c r="AP55" s="295"/>
      <c r="AQ55" s="295"/>
      <c r="AR55" s="295"/>
      <c r="AS55" s="295"/>
      <c r="AT55" s="295"/>
      <c r="AU55" s="295"/>
      <c r="AV55" s="295"/>
      <c r="AW55" s="295"/>
      <c r="AX55" s="295"/>
      <c r="AY55" s="295"/>
      <c r="AZ55" s="295"/>
      <c r="BA55" s="295"/>
    </row>
    <row r="56" spans="1:53" x14ac:dyDescent="0.15">
      <c r="A56" s="36" t="s">
        <v>176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9"/>
    </row>
    <row r="57" spans="1:53" x14ac:dyDescent="0.15">
      <c r="A57" s="40" t="s">
        <v>197</v>
      </c>
      <c r="B57" s="38"/>
      <c r="C57" s="47">
        <v>5000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41"/>
    </row>
    <row r="58" spans="1:53" x14ac:dyDescent="0.15">
      <c r="A58" s="40" t="s">
        <v>85</v>
      </c>
      <c r="B58" s="38"/>
      <c r="C58" s="48">
        <v>0.7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41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295"/>
      <c r="AN58" s="295"/>
      <c r="AO58" s="295"/>
      <c r="AP58" s="295"/>
      <c r="AQ58" s="295"/>
      <c r="AR58" s="295"/>
      <c r="AS58" s="295"/>
      <c r="AT58" s="295"/>
      <c r="AU58" s="295"/>
      <c r="AV58" s="295"/>
      <c r="AW58" s="295"/>
      <c r="AX58" s="295"/>
      <c r="AY58" s="295"/>
      <c r="AZ58" s="295"/>
      <c r="BA58" s="295"/>
    </row>
    <row r="59" spans="1:53" x14ac:dyDescent="0.15">
      <c r="A59" s="40" t="s">
        <v>172</v>
      </c>
      <c r="B59" s="38"/>
      <c r="C59" s="48">
        <v>0.3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41"/>
    </row>
    <row r="60" spans="1:53" x14ac:dyDescent="0.15">
      <c r="A60" s="40"/>
      <c r="B60" s="38"/>
      <c r="C60" s="38"/>
      <c r="D60" s="38"/>
      <c r="E60" s="38"/>
      <c r="F60" s="49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</row>
    <row r="61" spans="1:53" ht="75" x14ac:dyDescent="0.15">
      <c r="A61" s="271" t="s">
        <v>216</v>
      </c>
      <c r="B61" s="272" t="s">
        <v>198</v>
      </c>
      <c r="C61" s="274" t="s">
        <v>199</v>
      </c>
      <c r="D61" s="274" t="s">
        <v>200</v>
      </c>
      <c r="E61" s="274" t="s">
        <v>201</v>
      </c>
      <c r="F61" s="274" t="s">
        <v>202</v>
      </c>
      <c r="G61" s="274" t="s">
        <v>164</v>
      </c>
      <c r="H61" s="274" t="s">
        <v>173</v>
      </c>
      <c r="I61" s="274" t="s">
        <v>165</v>
      </c>
      <c r="J61" s="275" t="s">
        <v>544</v>
      </c>
      <c r="K61" s="276" t="s">
        <v>166</v>
      </c>
      <c r="L61" s="277" t="s">
        <v>545</v>
      </c>
      <c r="M61" s="278" t="s">
        <v>167</v>
      </c>
      <c r="N61" s="278" t="s">
        <v>168</v>
      </c>
      <c r="O61" s="278" t="s">
        <v>169</v>
      </c>
      <c r="P61" s="278" t="s">
        <v>170</v>
      </c>
      <c r="Q61" s="279" t="s">
        <v>541</v>
      </c>
      <c r="R61" s="279" t="s">
        <v>542</v>
      </c>
      <c r="S61" s="280" t="s">
        <v>546</v>
      </c>
      <c r="T61" s="280" t="s">
        <v>547</v>
      </c>
      <c r="U61" s="281" t="s">
        <v>227</v>
      </c>
      <c r="V61" s="281" t="s">
        <v>272</v>
      </c>
      <c r="W61" s="278" t="s">
        <v>82</v>
      </c>
      <c r="X61" s="282" t="s">
        <v>83</v>
      </c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295"/>
      <c r="AN61" s="295"/>
      <c r="AO61" s="295"/>
      <c r="AP61" s="295"/>
      <c r="AQ61" s="295"/>
      <c r="AR61" s="295"/>
      <c r="AS61" s="295"/>
      <c r="AT61" s="295"/>
      <c r="AU61" s="295"/>
      <c r="AV61" s="295"/>
      <c r="AW61" s="295"/>
      <c r="AX61" s="295"/>
      <c r="AY61" s="295"/>
      <c r="AZ61" s="295"/>
      <c r="BA61" s="295"/>
    </row>
    <row r="62" spans="1:53" x14ac:dyDescent="0.15">
      <c r="A62" s="70" t="str">
        <f>'SA Oct 2020'!K40</f>
        <v>AGL</v>
      </c>
      <c r="B62" s="49" t="str">
        <f>'SA Oct 2020'!L40</f>
        <v>Business Essentials</v>
      </c>
      <c r="C62" s="46">
        <f>IF('SA Oct 2020'!BP40=0,91*'SA Oct 2020'!M40/100,(91*'SA Oct 2020'!M40/100)+'SA Oct 2020'!BP40/4)</f>
        <v>69.648090909090911</v>
      </c>
      <c r="D62" s="46">
        <f>IF('SA Oct 2020'!O40="",$C$57*$C$58*'SA Oct 2020'!N40/100,IF($C$57*$C$58&gt;='SA Oct 2020'!P40,('SA Oct 2020'!P40*'SA Oct 2020'!N40/100),($C$57*$C$58*'SA Oct 2020'!N40/100)))</f>
        <v>1165.8181818181815</v>
      </c>
      <c r="E62" s="46">
        <f>IF(AND('SA Oct 2020'!P40&gt;0,'SA Oct 2020'!R40&gt;0),IF($C$57*$C$58&lt;'SA Oct 2020'!P40,0,IF($C$57*$C$58&lt;=('SA Oct 2020'!R40+'SA Oct 2020'!P40),(($C$57*$C$58-'SA Oct 2020'!P40)*'SA Oct 2020'!Q40/100),(('SA Oct 2020'!R40)*'SA Oct 2020'!Q40/100))),0)</f>
        <v>0</v>
      </c>
      <c r="F62" s="46">
        <f>IF(AND('SA Oct 2020'!Q23&gt;0,'SA Oct 2020'!S23&gt;0),IF($C$57*$C$58&lt;('SA Oct 2020'!R23+'SA Oct 2020'!P23),0,IF($C$57*$C$58&lt;=('SA Oct 2020'!T23+'SA Oct 2020'!R23+'SA Oct 2020'!P23),(($C$57*$C$58-('SA Oct 2020'!R23+'SA Oct 2020'!P23))*'SA Oct 2020'!S23/100),('SA Oct 2020'!T23*'SA Oct 2020'!S23/100))),0)</f>
        <v>0</v>
      </c>
      <c r="G62" s="50">
        <f>IF(AND('SA Oct 2020'!R40&gt;0,'SA Oct 2020'!T40&gt;0),IF(($C$57*$C$58&lt;'SA Oct 2020'!T40),(0),($C$57*$C$58-'SA Oct 2020'!T40)*'SA Oct 2020'!U40/100),IF(AND('SA Oct 2020'!R40&gt;0,'SA Oct 2020'!T40=""),IF(($C$57*$C$58&lt;'SA Oct 2020'!R40+'SA Oct 2020'!P40),(0),(($C$57*$C$58-('SA Oct 2020'!R40+'SA Oct 2020'!P40))*'SA Oct 2020'!S40/100)),IF(AND('SA Oct 2020'!P40&gt;0,'SA Oct 2020'!R40=""&gt;0),IF(($C$57*$C$58&lt;'SA Oct 2020'!P40),(0),($C$57*$C$58-'SA Oct 2020'!P40)*'SA Oct 2020'!Q40/100),0)))</f>
        <v>0</v>
      </c>
      <c r="H62" s="51">
        <f>($C$57*$C$59)*'SA Oct 2020'!W40/100</f>
        <v>322.49999999999994</v>
      </c>
      <c r="I62" s="52">
        <f>SUM(C62:H62)</f>
        <v>1557.9662727272726</v>
      </c>
      <c r="J62" s="109">
        <f>(I62-C62)*4</f>
        <v>5953.2727272727261</v>
      </c>
      <c r="K62" s="109">
        <f t="shared" ref="K62:K73" si="81">I62*4</f>
        <v>6231.8650909090902</v>
      </c>
      <c r="L62" s="53">
        <f t="shared" ref="L62:L73" si="82">K62*1.1</f>
        <v>6855.0515999999998</v>
      </c>
      <c r="M62" s="54">
        <f>'SA Oct 2020'!BB40</f>
        <v>0</v>
      </c>
      <c r="N62" s="54">
        <f>'SA Oct 2020'!BC40</f>
        <v>0</v>
      </c>
      <c r="O62" s="54">
        <f>'SA Oct 2020'!BD40</f>
        <v>0</v>
      </c>
      <c r="P62" s="54">
        <f>'SA Oct 2020'!BE40</f>
        <v>0</v>
      </c>
      <c r="Q62" s="110" t="str">
        <f t="shared" ref="Q62:Q68" si="83">IF(SUM(M62:P62)=0,"No discount",IF(M62&gt;0,"Guaranteed off bill",IF(N62&gt;0,"Guaranteed off usage",IF(O62&gt;0,"Pay-on-time off bill","Pay-on-time off usage"))))</f>
        <v>No discount</v>
      </c>
      <c r="R62" s="73" t="str">
        <f t="shared" ref="R62:R73" si="84">IF(OR(A62="Origin Energy",A62="Red Energy",A62="Powershop"),"Inclusive","Exclusive")</f>
        <v>Exclusive</v>
      </c>
      <c r="S62" s="111">
        <f>IF(AND(Q62="Guaranteed off bill",R62="Inclusive"),((K62*1.1)-((K62*1.1)*M62/100))/1.1,IF(AND(Q62="Guaranteed off usage",R62="Inclusive"),((K62*1.1)-((J62*1.1)*N62/100))/1.1,IF(AND(Q62="Guaranteed off bill",R62="Exclusive"),K62-(K62*M62/100),IF(AND(Q62="Guaranteed off usage",R62="Exclusive"),K62-(J62*N62/100),IF(R62="Inclusive",((K62*1.1))/1.1,K62)))))</f>
        <v>6231.8650909090902</v>
      </c>
      <c r="T62" s="112">
        <f>IF(AND(Q62="Pay-on-time off bill",R62="Inclusive"),((S62*1.1)-((S62*1.1)*O62/100))/1.1,IF(AND(Q62="Pay-on-time off usage",R62="Inclusive"),((S62*1.1)-((J62*1.1)*P62/100))/1.1,IF(AND(Q62="Pay-on-time off bill",R62="Exclusive"),S62-(S62*O62/100),IF(AND(Q62="Pay-on-time off usage",R62="Exclusive"),S62-(J62*P62/100),IF(R62="Inclusive",((S62*1.1))/1.1,S62)))))</f>
        <v>6231.8650909090902</v>
      </c>
      <c r="U62" s="97">
        <f>S62*1.1</f>
        <v>6855.0515999999998</v>
      </c>
      <c r="V62" s="98">
        <f>T62*1.1</f>
        <v>6855.0515999999998</v>
      </c>
      <c r="W62" s="55">
        <f>'SA Oct 2020'!BL40</f>
        <v>0</v>
      </c>
      <c r="X62" s="56" t="str">
        <f>'SA Oct 2020'!BM40</f>
        <v>n</v>
      </c>
    </row>
    <row r="63" spans="1:53" x14ac:dyDescent="0.15">
      <c r="A63" s="70" t="str">
        <f>'SA Oct 2020'!K41</f>
        <v>Alinta Energy</v>
      </c>
      <c r="B63" s="49" t="str">
        <f>'SA Oct 2020'!L41</f>
        <v>Business Advantage</v>
      </c>
      <c r="C63" s="46">
        <f>IF('SA Oct 2020'!BP41=0,91*'SA Oct 2020'!M41/100,(91*'SA Oct 2020'!M41/100)+'SA Oct 2020'!BP41/4)</f>
        <v>82.355000000000004</v>
      </c>
      <c r="D63" s="46">
        <f>IF('SA Oct 2020'!O41="",$C$57*$C$58*'SA Oct 2020'!N41/100,IF($C$57*$C$58&gt;='SA Oct 2020'!P41,('SA Oct 2020'!P41*'SA Oct 2020'!N41/100),($C$57*$C$58*'SA Oct 2020'!N41/100)))</f>
        <v>1350.0454545454545</v>
      </c>
      <c r="E63" s="46">
        <f>IF(AND('SA Oct 2020'!P41&gt;0,'SA Oct 2020'!R41&gt;0),IF($C$57*$C$58&lt;'SA Oct 2020'!P41,0,IF($C$57*$C$58&lt;=('SA Oct 2020'!R41+'SA Oct 2020'!P41),(($C$57*$C$58-'SA Oct 2020'!P41)*'SA Oct 2020'!Q41/100),(('SA Oct 2020'!R41)*'SA Oct 2020'!Q41/100))),0)</f>
        <v>0</v>
      </c>
      <c r="F63" s="46">
        <f>IF(AND('SA Oct 2020'!Q24&gt;0,'SA Oct 2020'!S24&gt;0),IF($C$57*$C$58&lt;('SA Oct 2020'!R24+'SA Oct 2020'!P24),0,IF($C$57*$C$58&lt;=('SA Oct 2020'!T24+'SA Oct 2020'!R24+'SA Oct 2020'!P24),(($C$57*$C$58-('SA Oct 2020'!R24+'SA Oct 2020'!P24))*'SA Oct 2020'!S24/100),('SA Oct 2020'!T24*'SA Oct 2020'!S24/100))),0)</f>
        <v>0</v>
      </c>
      <c r="G63" s="50">
        <f>IF(AND('SA Oct 2020'!R41&gt;0,'SA Oct 2020'!T41&gt;0),IF(($C$57*$C$58&lt;'SA Oct 2020'!T41),(0),($C$57*$C$58-'SA Oct 2020'!T41)*'SA Oct 2020'!U41/100),IF(AND('SA Oct 2020'!R41&gt;0,'SA Oct 2020'!T41=""),IF(($C$57*$C$58&lt;'SA Oct 2020'!R41+'SA Oct 2020'!P41),(0),(($C$57*$C$58-('SA Oct 2020'!R41+'SA Oct 2020'!P41))*'SA Oct 2020'!S41/100)),IF(AND('SA Oct 2020'!P41&gt;0,'SA Oct 2020'!R41=""&gt;0),IF(($C$57*$C$58&lt;'SA Oct 2020'!P41),(0),($C$57*$C$58-'SA Oct 2020'!P41)*'SA Oct 2020'!Q41/100),0)))</f>
        <v>0</v>
      </c>
      <c r="H63" s="51">
        <f>($C$57*$C$59)*'SA Oct 2020'!W41/100</f>
        <v>345.40909090909088</v>
      </c>
      <c r="I63" s="52">
        <f t="shared" ref="I63:I73" si="85">SUM(C63:H63)</f>
        <v>1777.8095454545455</v>
      </c>
      <c r="J63" s="109">
        <f t="shared" ref="J63:J73" si="86">(I63-C63)*4</f>
        <v>6781.818181818182</v>
      </c>
      <c r="K63" s="109">
        <f t="shared" si="81"/>
        <v>7111.2381818181821</v>
      </c>
      <c r="L63" s="53">
        <f t="shared" si="82"/>
        <v>7822.362000000001</v>
      </c>
      <c r="M63" s="54">
        <f>'SA Oct 2020'!BB41</f>
        <v>0</v>
      </c>
      <c r="N63" s="54">
        <f>'SA Oct 2020'!BC41</f>
        <v>0</v>
      </c>
      <c r="O63" s="54">
        <f>'SA Oct 2020'!BD41</f>
        <v>0</v>
      </c>
      <c r="P63" s="54">
        <f>'SA Oct 2020'!BE41</f>
        <v>0</v>
      </c>
      <c r="Q63" s="110" t="str">
        <f t="shared" si="83"/>
        <v>No discount</v>
      </c>
      <c r="R63" s="73" t="str">
        <f t="shared" si="84"/>
        <v>Exclusive</v>
      </c>
      <c r="S63" s="111">
        <f>IF(AND(Q63="Guaranteed off bill",R63="Inclusive"),((K63*1.1)-((K63*1.1)*M63/100))/1.1,IF(AND(Q63="Guaranteed off usage",R63="Inclusive"),((K63*1.1)-((J63*1.1)*N63/100))/1.1,IF(AND(Q63="Guaranteed off bill",R63="Exclusive"),K63-(K63*M63/100),IF(AND(Q63="Guaranteed off usage",R63="Exclusive"),K63-(J63*N63/100),IF(R63="Inclusive",((K63*1.1))/1.1,K63)))))</f>
        <v>7111.2381818181821</v>
      </c>
      <c r="T63" s="112">
        <f>IF(AND(Q63="Pay-on-time off bill",R63="Inclusive"),((S63*1.1)-((S63*1.1)*O63/100))/1.1,IF(AND(Q63="Pay-on-time off usage",R63="Inclusive"),((S63*1.1)-((J63*1.1)*P63/100))/1.1,IF(AND(Q63="Pay-on-time off bill",R63="Exclusive"),S63-(S63*O63/100),IF(AND(Q63="Pay-on-time off usage",R63="Exclusive"),S63-(J63*P63/100),IF(R63="Inclusive",((S63*1.1))/1.1,S63)))))</f>
        <v>7111.2381818181821</v>
      </c>
      <c r="U63" s="97">
        <f t="shared" ref="U63:V73" si="87">S63*1.1</f>
        <v>7822.362000000001</v>
      </c>
      <c r="V63" s="98">
        <f t="shared" si="87"/>
        <v>7822.362000000001</v>
      </c>
      <c r="W63" s="55">
        <f>'SA Oct 2020'!BL41</f>
        <v>0</v>
      </c>
      <c r="X63" s="56" t="str">
        <f>'SA Oct 2020'!BM41</f>
        <v>n</v>
      </c>
    </row>
    <row r="64" spans="1:53" x14ac:dyDescent="0.15">
      <c r="A64" s="70" t="str">
        <f>'SA Oct 2020'!K42</f>
        <v>Click Energy</v>
      </c>
      <c r="B64" s="49" t="str">
        <f>'SA Oct 2020'!L42</f>
        <v>Click Business Pin</v>
      </c>
      <c r="C64" s="46">
        <f>IF('SA Oct 2020'!BP42=0,91*'SA Oct 2020'!M42/100,(91*'SA Oct 2020'!M42/100)+'SA Oct 2020'!BP42/4)</f>
        <v>72.36154545454545</v>
      </c>
      <c r="D64" s="46">
        <f>IF('SA Oct 2020'!O42="",$C$57*$C$58*'SA Oct 2020'!N42/100,IF($C$57*$C$58&gt;='SA Oct 2020'!P42,('SA Oct 2020'!P42*'SA Oct 2020'!N42/100),($C$57*$C$58*'SA Oct 2020'!N42/100)))</f>
        <v>1162.0000000000002</v>
      </c>
      <c r="E64" s="46">
        <f>IF(AND('SA Oct 2020'!P42&gt;0,'SA Oct 2020'!R42&gt;0),IF($C$57*$C$58&lt;'SA Oct 2020'!P42,0,IF($C$57*$C$58&lt;=('SA Oct 2020'!R42+'SA Oct 2020'!P42),(($C$57*$C$58-'SA Oct 2020'!P42)*'SA Oct 2020'!Q42/100),(('SA Oct 2020'!R42)*'SA Oct 2020'!Q42/100))),0)</f>
        <v>0</v>
      </c>
      <c r="F64" s="46">
        <f>IF(AND('SA Oct 2020'!Q25&gt;0,'SA Oct 2020'!S25&gt;0),IF($C$57*$C$58&lt;('SA Oct 2020'!R25+'SA Oct 2020'!P25),0,IF($C$57*$C$58&lt;=('SA Oct 2020'!T25+'SA Oct 2020'!R25+'SA Oct 2020'!P25),(($C$57*$C$58-('SA Oct 2020'!R25+'SA Oct 2020'!P25))*'SA Oct 2020'!S25/100),('SA Oct 2020'!T25*'SA Oct 2020'!S25/100))),0)</f>
        <v>0</v>
      </c>
      <c r="G64" s="50">
        <f>IF(AND('SA Oct 2020'!R42&gt;0,'SA Oct 2020'!T42&gt;0),IF(($C$57*$C$58&lt;'SA Oct 2020'!T42),(0),($C$57*$C$58-'SA Oct 2020'!T42)*'SA Oct 2020'!U42/100),IF(AND('SA Oct 2020'!R42&gt;0,'SA Oct 2020'!T42=""),IF(($C$57*$C$58&lt;'SA Oct 2020'!R42+'SA Oct 2020'!P42),(0),(($C$57*$C$58-('SA Oct 2020'!R42+'SA Oct 2020'!P42))*'SA Oct 2020'!S42/100)),IF(AND('SA Oct 2020'!P42&gt;0,'SA Oct 2020'!R42=""&gt;0),IF(($C$57*$C$58&lt;'SA Oct 2020'!P42),(0),($C$57*$C$58-'SA Oct 2020'!P42)*'SA Oct 2020'!Q42/100),0)))</f>
        <v>0</v>
      </c>
      <c r="H64" s="51">
        <f>($C$57*$C$59)*'SA Oct 2020'!W42/100</f>
        <v>398.18181818181819</v>
      </c>
      <c r="I64" s="52">
        <f t="shared" si="85"/>
        <v>1632.5433636363639</v>
      </c>
      <c r="J64" s="109">
        <f t="shared" si="86"/>
        <v>6240.7272727272739</v>
      </c>
      <c r="K64" s="109">
        <f t="shared" si="81"/>
        <v>6530.1734545454556</v>
      </c>
      <c r="L64" s="53">
        <f t="shared" si="82"/>
        <v>7183.1908000000021</v>
      </c>
      <c r="M64" s="54">
        <f>'SA Oct 2020'!BB42</f>
        <v>0</v>
      </c>
      <c r="N64" s="54">
        <f>'SA Oct 2020'!BC42</f>
        <v>0</v>
      </c>
      <c r="O64" s="54">
        <f>'SA Oct 2020'!BD42</f>
        <v>0</v>
      </c>
      <c r="P64" s="54">
        <f>'SA Oct 2020'!BE42</f>
        <v>0</v>
      </c>
      <c r="Q64" s="110" t="str">
        <f t="shared" si="83"/>
        <v>No discount</v>
      </c>
      <c r="R64" s="73" t="str">
        <f t="shared" si="84"/>
        <v>Exclusive</v>
      </c>
      <c r="S64" s="111">
        <f t="shared" ref="S64:S73" si="88">IF(AND(Q64="Guaranteed off bill",R64="Inclusive"),((K64*1.1)-((K64*1.1)*M64/100))/1.1,IF(AND(Q64="Guaranteed off usage",R64="Inclusive"),((K64*1.1)-((J64*1.1)*N64/100))/1.1,IF(AND(Q64="Guaranteed off bill",R64="Exclusive"),K64-(K64*M64/100),IF(AND(Q64="Guaranteed off usage",R64="Exclusive"),K64-(J64*N64/100),IF(R64="Inclusive",((K64*1.1))/1.1,K64)))))</f>
        <v>6530.1734545454556</v>
      </c>
      <c r="T64" s="112">
        <f t="shared" ref="T64:T73" si="89">IF(AND(Q64="Pay-on-time off bill",R64="Inclusive"),((S64*1.1)-((S64*1.1)*O64/100))/1.1,IF(AND(Q64="Pay-on-time off usage",R64="Inclusive"),((S64*1.1)-((J64*1.1)*P64/100))/1.1,IF(AND(Q64="Pay-on-time off bill",R64="Exclusive"),S64-(S64*O64/100),IF(AND(Q64="Pay-on-time off usage",R64="Exclusive"),S64-(J64*P64/100),IF(R64="Inclusive",((S64*1.1))/1.1,S64)))))</f>
        <v>6530.1734545454556</v>
      </c>
      <c r="U64" s="97">
        <f t="shared" si="87"/>
        <v>7183.1908000000021</v>
      </c>
      <c r="V64" s="98">
        <f t="shared" si="87"/>
        <v>7183.1908000000021</v>
      </c>
      <c r="W64" s="55">
        <f>'SA Oct 2020'!BL42</f>
        <v>0</v>
      </c>
      <c r="X64" s="56" t="str">
        <f>'SA Oct 2020'!BM42</f>
        <v>n</v>
      </c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295"/>
      <c r="AN64" s="295"/>
      <c r="AO64" s="295"/>
      <c r="AP64" s="295"/>
      <c r="AQ64" s="295"/>
      <c r="AR64" s="295"/>
      <c r="AS64" s="295"/>
      <c r="AT64" s="295"/>
      <c r="AU64" s="295"/>
      <c r="AV64" s="295"/>
      <c r="AW64" s="295"/>
      <c r="AX64" s="295"/>
      <c r="AY64" s="295"/>
      <c r="AZ64" s="295"/>
      <c r="BA64" s="295"/>
    </row>
    <row r="65" spans="1:53" x14ac:dyDescent="0.15">
      <c r="A65" s="70" t="str">
        <f>'SA Oct 2020'!K43</f>
        <v>Commander</v>
      </c>
      <c r="B65" s="49" t="str">
        <f>'SA Oct 2020'!L43</f>
        <v>Market offer</v>
      </c>
      <c r="C65" s="46">
        <f>IF('SA Oct 2020'!BP43=0,91*'SA Oct 2020'!M43/100,(91*'SA Oct 2020'!M43/100)+'SA Oct 2020'!BP43/4)</f>
        <v>87.053909090909087</v>
      </c>
      <c r="D65" s="46">
        <f>IF('SA Oct 2020'!O43="",$C$57*$C$58*'SA Oct 2020'!N43/100,IF($C$57*$C$58&gt;='SA Oct 2020'!P43,('SA Oct 2020'!P43*'SA Oct 2020'!N43/100),($C$57*$C$58*'SA Oct 2020'!N43/100)))</f>
        <v>1321.7272727272727</v>
      </c>
      <c r="E65" s="46">
        <f>IF(AND('SA Oct 2020'!P43&gt;0,'SA Oct 2020'!R43&gt;0),IF($C$57*$C$58&lt;'SA Oct 2020'!P43,0,IF($C$57*$C$58&lt;=('SA Oct 2020'!R43+'SA Oct 2020'!P43),(($C$57*$C$58-'SA Oct 2020'!P43)*'SA Oct 2020'!Q43/100),(('SA Oct 2020'!R43)*'SA Oct 2020'!Q43/100))),0)</f>
        <v>0</v>
      </c>
      <c r="F65" s="46">
        <f>IF(AND('SA Oct 2020'!Q26&gt;0,'SA Oct 2020'!S26&gt;0),IF($C$57*$C$58&lt;('SA Oct 2020'!R26+'SA Oct 2020'!P26),0,IF($C$57*$C$58&lt;=('SA Oct 2020'!T26+'SA Oct 2020'!R26+'SA Oct 2020'!P26),(($C$57*$C$58-('SA Oct 2020'!R26+'SA Oct 2020'!P26))*'SA Oct 2020'!S26/100),('SA Oct 2020'!T26*'SA Oct 2020'!S26/100))),0)</f>
        <v>0</v>
      </c>
      <c r="G65" s="50">
        <f>IF(AND('SA Oct 2020'!R43&gt;0,'SA Oct 2020'!T43&gt;0),IF(($C$57*$C$58&lt;'SA Oct 2020'!T43),(0),($C$57*$C$58-'SA Oct 2020'!T43)*'SA Oct 2020'!U43/100),IF(AND('SA Oct 2020'!R43&gt;0,'SA Oct 2020'!T43=""),IF(($C$57*$C$58&lt;'SA Oct 2020'!R43+'SA Oct 2020'!P43),(0),(($C$57*$C$58-('SA Oct 2020'!R43+'SA Oct 2020'!P43))*'SA Oct 2020'!S43/100)),IF(AND('SA Oct 2020'!P43&gt;0,'SA Oct 2020'!R43=""&gt;0),IF(($C$57*$C$58&lt;'SA Oct 2020'!P43),(0),($C$57*$C$58-'SA Oct 2020'!P43)*'SA Oct 2020'!Q43/100),0)))</f>
        <v>0</v>
      </c>
      <c r="H65" s="51">
        <f>($C$57*$C$59)*'SA Oct 2020'!W43/100</f>
        <v>401.99999999999994</v>
      </c>
      <c r="I65" s="52">
        <f t="shared" si="85"/>
        <v>1810.7811818181817</v>
      </c>
      <c r="J65" s="109">
        <f t="shared" si="86"/>
        <v>6894.9090909090901</v>
      </c>
      <c r="K65" s="109">
        <f t="shared" si="81"/>
        <v>7243.1247272727269</v>
      </c>
      <c r="L65" s="53">
        <f t="shared" si="82"/>
        <v>7967.4372000000003</v>
      </c>
      <c r="M65" s="54">
        <f>'SA Oct 2020'!BB43</f>
        <v>0</v>
      </c>
      <c r="N65" s="54">
        <f>'SA Oct 2020'!BC43</f>
        <v>0</v>
      </c>
      <c r="O65" s="54">
        <f>'SA Oct 2020'!BD43</f>
        <v>0</v>
      </c>
      <c r="P65" s="54">
        <f>'SA Oct 2020'!BE43</f>
        <v>0</v>
      </c>
      <c r="Q65" s="110" t="str">
        <f t="shared" si="83"/>
        <v>No discount</v>
      </c>
      <c r="R65" s="73" t="str">
        <f t="shared" si="84"/>
        <v>Exclusive</v>
      </c>
      <c r="S65" s="111">
        <f t="shared" si="88"/>
        <v>7243.1247272727269</v>
      </c>
      <c r="T65" s="112">
        <f t="shared" si="89"/>
        <v>7243.1247272727269</v>
      </c>
      <c r="U65" s="97">
        <f t="shared" si="87"/>
        <v>7967.4372000000003</v>
      </c>
      <c r="V65" s="98">
        <f t="shared" si="87"/>
        <v>7967.4372000000003</v>
      </c>
      <c r="W65" s="55">
        <f>'SA Oct 2020'!BL43</f>
        <v>0</v>
      </c>
      <c r="X65" s="56" t="str">
        <f>'SA Oct 2020'!BM43</f>
        <v>n</v>
      </c>
    </row>
    <row r="66" spans="1:53" x14ac:dyDescent="0.15">
      <c r="A66" s="70" t="str">
        <f>'SA Oct 2020'!K44</f>
        <v>Diamond Energy</v>
      </c>
      <c r="B66" s="49" t="str">
        <f>'SA Oct 2020'!L44</f>
        <v>Renewable Saver POT</v>
      </c>
      <c r="C66" s="46">
        <f>IF('SA Oct 2020'!BP44=0,91*'SA Oct 2020'!M44/100,(91*'SA Oct 2020'!M44/100)+'SA Oct 2020'!BP44/4)</f>
        <v>90.545000000000002</v>
      </c>
      <c r="D66" s="46">
        <f>IF('SA Oct 2020'!O44="",$C$57*$C$58*'SA Oct 2020'!N44/100,IF($C$57*$C$58&gt;='SA Oct 2020'!P44,('SA Oct 2020'!P44*'SA Oct 2020'!N44/100),($C$57*$C$58*'SA Oct 2020'!N44/100)))</f>
        <v>419</v>
      </c>
      <c r="E66" s="46">
        <f>IF(AND('SA Oct 2020'!P44&gt;0,'SA Oct 2020'!R44&gt;0),IF($C$57*$C$58&lt;'SA Oct 2020'!P44,0,IF($C$57*$C$58&lt;=('SA Oct 2020'!R44+'SA Oct 2020'!P44),(($C$57*$C$58-'SA Oct 2020'!P44)*'SA Oct 2020'!Q44/100),(('SA Oct 2020'!R44)*'SA Oct 2020'!Q44/100))),0)</f>
        <v>638.99999999999989</v>
      </c>
      <c r="F66" s="46">
        <f>IF(AND('SA Oct 2020'!Q27&gt;0,'SA Oct 2020'!S27&gt;0),IF($C$57*$C$58&lt;('SA Oct 2020'!R27+'SA Oct 2020'!P27),0,IF($C$57*$C$58&lt;=('SA Oct 2020'!T27+'SA Oct 2020'!R27+'SA Oct 2020'!P27),(($C$57*$C$58-('SA Oct 2020'!R27+'SA Oct 2020'!P27))*'SA Oct 2020'!S27/100),('SA Oct 2020'!T27*'SA Oct 2020'!S27/100))),0)</f>
        <v>0</v>
      </c>
      <c r="G66" s="50">
        <f>IF(AND('SA Oct 2020'!R44&gt;0,'SA Oct 2020'!T44&gt;0),IF(($C$57*$C$58&lt;'SA Oct 2020'!T44),(0),($C$57*$C$58-'SA Oct 2020'!T44)*'SA Oct 2020'!U44/100),IF(AND('SA Oct 2020'!R44&gt;0,'SA Oct 2020'!T44=""),IF(($C$57*$C$58&lt;'SA Oct 2020'!R44+'SA Oct 2020'!P44),(0),(($C$57*$C$58-('SA Oct 2020'!R44+'SA Oct 2020'!P44))*'SA Oct 2020'!S44/100)),IF(AND('SA Oct 2020'!P44&gt;0,'SA Oct 2020'!R44=""&gt;0),IF(($C$57*$C$58&lt;'SA Oct 2020'!P44),(0),($C$57*$C$58-'SA Oct 2020'!P44)*'SA Oct 2020'!Q44/100),0)))</f>
        <v>449</v>
      </c>
      <c r="H66" s="51">
        <f>($C$57*$C$59)*'SA Oct 2020'!W44/100</f>
        <v>419.31818181818176</v>
      </c>
      <c r="I66" s="52">
        <f t="shared" si="85"/>
        <v>2016.8631818181816</v>
      </c>
      <c r="J66" s="109">
        <f t="shared" si="86"/>
        <v>7705.2727272727261</v>
      </c>
      <c r="K66" s="109">
        <f t="shared" si="81"/>
        <v>8067.4527272727264</v>
      </c>
      <c r="L66" s="53">
        <f t="shared" si="82"/>
        <v>8874.1980000000003</v>
      </c>
      <c r="M66" s="54">
        <f>'SA Oct 2020'!BB44</f>
        <v>0</v>
      </c>
      <c r="N66" s="54">
        <f>'SA Oct 2020'!BC44</f>
        <v>0</v>
      </c>
      <c r="O66" s="54">
        <f>'SA Oct 2020'!BD44</f>
        <v>7</v>
      </c>
      <c r="P66" s="54">
        <f>'SA Oct 2020'!BE44</f>
        <v>0</v>
      </c>
      <c r="Q66" s="110" t="str">
        <f t="shared" si="83"/>
        <v>Pay-on-time off bill</v>
      </c>
      <c r="R66" s="73" t="str">
        <f t="shared" si="84"/>
        <v>Exclusive</v>
      </c>
      <c r="S66" s="111">
        <f t="shared" si="88"/>
        <v>8067.4527272727264</v>
      </c>
      <c r="T66" s="112">
        <f t="shared" si="89"/>
        <v>7502.7310363636352</v>
      </c>
      <c r="U66" s="97">
        <f t="shared" si="87"/>
        <v>8874.1980000000003</v>
      </c>
      <c r="V66" s="98">
        <f t="shared" si="87"/>
        <v>8253.0041399999991</v>
      </c>
      <c r="W66" s="55">
        <f>'SA Oct 2020'!BL44</f>
        <v>0</v>
      </c>
      <c r="X66" s="56" t="str">
        <f>'SA Oct 2020'!BM44</f>
        <v>n</v>
      </c>
    </row>
    <row r="67" spans="1:53" x14ac:dyDescent="0.15">
      <c r="A67" s="70" t="str">
        <f>'SA Oct 2020'!K45</f>
        <v>EnergyAustralia</v>
      </c>
      <c r="B67" s="49" t="str">
        <f>'SA Oct 2020'!L45</f>
        <v>Total Plan</v>
      </c>
      <c r="C67" s="46">
        <f>IF('SA Oct 2020'!BP45=0,91*'SA Oct 2020'!M45/100,(91*'SA Oct 2020'!M45/100)+'SA Oct 2020'!BP45/4)</f>
        <v>90.63600000000001</v>
      </c>
      <c r="D67" s="46">
        <f>IF('SA Oct 2020'!O45="",$C$57*$C$58*'SA Oct 2020'!N45/100,IF($C$57*$C$58&gt;='SA Oct 2020'!P45,('SA Oct 2020'!P45*'SA Oct 2020'!N45/100),($C$57*$C$58*'SA Oct 2020'!N45/100)))</f>
        <v>1487.8181818181815</v>
      </c>
      <c r="E67" s="46">
        <f>IF(AND('SA Oct 2020'!P45&gt;0,'SA Oct 2020'!R45&gt;0),IF($C$57*$C$58&lt;'SA Oct 2020'!P45,0,IF($C$57*$C$58&lt;=('SA Oct 2020'!R45+'SA Oct 2020'!P45),(($C$57*$C$58-'SA Oct 2020'!P45)*'SA Oct 2020'!Q45/100),(('SA Oct 2020'!R45)*'SA Oct 2020'!Q45/100))),0)</f>
        <v>0</v>
      </c>
      <c r="F67" s="46">
        <f>IF(AND('SA Oct 2020'!Q28&gt;0,'SA Oct 2020'!S28&gt;0),IF($C$57*$C$58&lt;('SA Oct 2020'!R28+'SA Oct 2020'!P28),0,IF($C$57*$C$58&lt;=('SA Oct 2020'!T28+'SA Oct 2020'!R28+'SA Oct 2020'!P28),(($C$57*$C$58-('SA Oct 2020'!R28+'SA Oct 2020'!P28))*'SA Oct 2020'!S28/100),('SA Oct 2020'!T28*'SA Oct 2020'!S28/100))),0)</f>
        <v>0</v>
      </c>
      <c r="G67" s="50">
        <f>IF(AND('SA Oct 2020'!R45&gt;0,'SA Oct 2020'!T45&gt;0),IF(($C$57*$C$58&lt;'SA Oct 2020'!T45),(0),($C$57*$C$58-'SA Oct 2020'!T45)*'SA Oct 2020'!U45/100),IF(AND('SA Oct 2020'!R45&gt;0,'SA Oct 2020'!T45=""),IF(($C$57*$C$58&lt;'SA Oct 2020'!R45+'SA Oct 2020'!P45),(0),(($C$57*$C$58-('SA Oct 2020'!R45+'SA Oct 2020'!P45))*'SA Oct 2020'!S45/100)),IF(AND('SA Oct 2020'!P45&gt;0,'SA Oct 2020'!R45=""&gt;0),IF(($C$57*$C$58&lt;'SA Oct 2020'!P45),(0),($C$57*$C$58-'SA Oct 2020'!P45)*'SA Oct 2020'!Q45/100),0)))</f>
        <v>0</v>
      </c>
      <c r="H67" s="51">
        <f>($C$57*$C$59)*'SA Oct 2020'!W45/100</f>
        <v>299.0454545454545</v>
      </c>
      <c r="I67" s="52">
        <f t="shared" si="85"/>
        <v>1877.499636363636</v>
      </c>
      <c r="J67" s="109">
        <f t="shared" si="86"/>
        <v>7147.4545454545441</v>
      </c>
      <c r="K67" s="109">
        <f t="shared" si="81"/>
        <v>7509.998545454544</v>
      </c>
      <c r="L67" s="53">
        <f t="shared" si="82"/>
        <v>8260.9983999999986</v>
      </c>
      <c r="M67" s="54">
        <f>'SA Oct 2020'!BB45</f>
        <v>3</v>
      </c>
      <c r="N67" s="54">
        <f>'SA Oct 2020'!BC45</f>
        <v>0</v>
      </c>
      <c r="O67" s="54">
        <f>'SA Oct 2020'!BD45</f>
        <v>0</v>
      </c>
      <c r="P67" s="54">
        <f>'SA Oct 2020'!BE45</f>
        <v>0</v>
      </c>
      <c r="Q67" s="110" t="str">
        <f t="shared" si="83"/>
        <v>Guaranteed off bill</v>
      </c>
      <c r="R67" s="73" t="str">
        <f t="shared" si="84"/>
        <v>Exclusive</v>
      </c>
      <c r="S67" s="111">
        <f t="shared" si="88"/>
        <v>7284.6985890909073</v>
      </c>
      <c r="T67" s="112">
        <f t="shared" si="89"/>
        <v>7284.6985890909073</v>
      </c>
      <c r="U67" s="97">
        <f t="shared" si="87"/>
        <v>8013.1684479999985</v>
      </c>
      <c r="V67" s="98">
        <f t="shared" si="87"/>
        <v>8013.1684479999985</v>
      </c>
      <c r="W67" s="55">
        <f>'SA Oct 2020'!BL45</f>
        <v>0</v>
      </c>
      <c r="X67" s="56" t="str">
        <f>'SA Oct 2020'!BM45</f>
        <v>n</v>
      </c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  <c r="AO67" s="295"/>
      <c r="AP67" s="295"/>
      <c r="AQ67" s="295"/>
      <c r="AR67" s="295"/>
      <c r="AS67" s="295"/>
      <c r="AT67" s="295"/>
      <c r="AU67" s="295"/>
      <c r="AV67" s="295"/>
      <c r="AW67" s="295"/>
      <c r="AX67" s="295"/>
      <c r="AY67" s="295"/>
      <c r="AZ67" s="295"/>
      <c r="BA67" s="295"/>
    </row>
    <row r="68" spans="1:53" x14ac:dyDescent="0.15">
      <c r="A68" s="70" t="str">
        <f>'SA Oct 2020'!K46</f>
        <v>Momentum Energy</v>
      </c>
      <c r="B68" s="49" t="str">
        <f>'SA Oct 2020'!L46</f>
        <v>SmilePower Flexi</v>
      </c>
      <c r="C68" s="46">
        <f>IF('SA Oct 2020'!BP46=0,91*'SA Oct 2020'!M46/100,(91*'SA Oct 2020'!M46/100)+'SA Oct 2020'!BP46/4)</f>
        <v>93.994727272727275</v>
      </c>
      <c r="D68" s="46">
        <f>IF('SA Oct 2020'!O46="",$C$57*$C$58*'SA Oct 2020'!N46/100,IF($C$57*$C$58&gt;='SA Oct 2020'!P46,('SA Oct 2020'!P46*'SA Oct 2020'!N46/100),($C$57*$C$58*'SA Oct 2020'!N46/100)))</f>
        <v>1472.8636363636363</v>
      </c>
      <c r="E68" s="46">
        <f>IF(AND('SA Oct 2020'!P46&gt;0,'SA Oct 2020'!R46&gt;0),IF($C$57*$C$58&lt;'SA Oct 2020'!P46,0,IF($C$57*$C$58&lt;=('SA Oct 2020'!R46+'SA Oct 2020'!P46),(($C$57*$C$58-'SA Oct 2020'!P46)*'SA Oct 2020'!Q46/100),(('SA Oct 2020'!R46)*'SA Oct 2020'!Q46/100))),0)</f>
        <v>0</v>
      </c>
      <c r="F68" s="46">
        <f>IF(AND('SA Oct 2020'!Q30&gt;0,'SA Oct 2020'!S30&gt;0),IF($C$57*$C$58&lt;('SA Oct 2020'!R30+'SA Oct 2020'!P30),0,IF($C$57*$C$58&lt;=('SA Oct 2020'!T30+'SA Oct 2020'!R30+'SA Oct 2020'!P30),(($C$57*$C$58-('SA Oct 2020'!R30+'SA Oct 2020'!P30))*'SA Oct 2020'!S30/100),('SA Oct 2020'!T30*'SA Oct 2020'!S30/100))),0)</f>
        <v>0</v>
      </c>
      <c r="G68" s="50">
        <f>IF(AND('SA Oct 2020'!R46&gt;0,'SA Oct 2020'!T46&gt;0),IF(($C$57*$C$58&lt;'SA Oct 2020'!T46),(0),($C$57*$C$58-'SA Oct 2020'!T46)*'SA Oct 2020'!U46/100),IF(AND('SA Oct 2020'!R46&gt;0,'SA Oct 2020'!T46=""),IF(($C$57*$C$58&lt;'SA Oct 2020'!R46+'SA Oct 2020'!P46),(0),(($C$57*$C$58-('SA Oct 2020'!R46+'SA Oct 2020'!P46))*'SA Oct 2020'!S46/100)),IF(AND('SA Oct 2020'!P46&gt;0,'SA Oct 2020'!R46=""&gt;0),IF(($C$57*$C$58&lt;'SA Oct 2020'!P46),(0),($C$57*$C$58-'SA Oct 2020'!P46)*'SA Oct 2020'!Q46/100),0)))</f>
        <v>0</v>
      </c>
      <c r="H68" s="51">
        <f>($C$57*$C$59)*'SA Oct 2020'!W46/100</f>
        <v>376.36363636363632</v>
      </c>
      <c r="I68" s="52">
        <f t="shared" si="85"/>
        <v>1943.2219999999998</v>
      </c>
      <c r="J68" s="109">
        <f t="shared" si="86"/>
        <v>7396.9090909090901</v>
      </c>
      <c r="K68" s="109">
        <f t="shared" si="81"/>
        <v>7772.887999999999</v>
      </c>
      <c r="L68" s="53">
        <f t="shared" si="82"/>
        <v>8550.1767999999993</v>
      </c>
      <c r="M68" s="54">
        <f>'SA Oct 2020'!BB46</f>
        <v>0</v>
      </c>
      <c r="N68" s="54">
        <f>'SA Oct 2020'!BC46</f>
        <v>0</v>
      </c>
      <c r="O68" s="54">
        <f>'SA Oct 2020'!BD46</f>
        <v>0</v>
      </c>
      <c r="P68" s="54">
        <f>'SA Oct 2020'!BE46</f>
        <v>0</v>
      </c>
      <c r="Q68" s="110" t="str">
        <f t="shared" si="83"/>
        <v>No discount</v>
      </c>
      <c r="R68" s="73" t="str">
        <f t="shared" si="84"/>
        <v>Exclusive</v>
      </c>
      <c r="S68" s="111">
        <f t="shared" si="88"/>
        <v>7772.887999999999</v>
      </c>
      <c r="T68" s="112">
        <f t="shared" si="89"/>
        <v>7772.887999999999</v>
      </c>
      <c r="U68" s="97">
        <f t="shared" si="87"/>
        <v>8550.1767999999993</v>
      </c>
      <c r="V68" s="98">
        <f t="shared" si="87"/>
        <v>8550.1767999999993</v>
      </c>
      <c r="W68" s="55">
        <f>'SA Oct 2020'!BL46</f>
        <v>0</v>
      </c>
      <c r="X68" s="56" t="str">
        <f>'SA Oct 2020'!BM46</f>
        <v>n</v>
      </c>
    </row>
    <row r="69" spans="1:53" x14ac:dyDescent="0.15">
      <c r="A69" s="70" t="str">
        <f>'SA Oct 2020'!K47</f>
        <v>Origin Energy</v>
      </c>
      <c r="B69" s="49" t="str">
        <f>'SA Oct 2020'!L47</f>
        <v xml:space="preserve">Flexi </v>
      </c>
      <c r="C69" s="46">
        <f>IF('SA Oct 2020'!BP47=0,91*'SA Oct 2020'!M47/100,(91*'SA Oct 2020'!M47/100)+'SA Oct 2020'!BP47/4)</f>
        <v>81.693181818181813</v>
      </c>
      <c r="D69" s="46">
        <f>IF('SA Oct 2020'!O47="",$C$57*$C$58*'SA Oct 2020'!N47/100,IF($C$57*$C$58&gt;='SA Oct 2020'!P47,('SA Oct 2020'!P47*'SA Oct 2020'!N47/100),($C$57*$C$58*'SA Oct 2020'!N47/100)))</f>
        <v>1419.090909090909</v>
      </c>
      <c r="E69" s="46">
        <f>IF(AND('SA Oct 2020'!P47&gt;0,'SA Oct 2020'!R47&gt;0),IF($C$57*$C$58&lt;'SA Oct 2020'!P47,0,IF($C$57*$C$58&lt;=('SA Oct 2020'!R47+'SA Oct 2020'!P47),(($C$57*$C$58-'SA Oct 2020'!P47)*'SA Oct 2020'!Q47/100),(('SA Oct 2020'!R47)*'SA Oct 2020'!Q47/100))),0)</f>
        <v>0</v>
      </c>
      <c r="F69" s="46">
        <f>IF(AND('SA Oct 2020'!Q31&gt;0,'SA Oct 2020'!S31&gt;0),IF($C$57*$C$58&lt;('SA Oct 2020'!R31+'SA Oct 2020'!P31),0,IF($C$57*$C$58&lt;=('SA Oct 2020'!T31+'SA Oct 2020'!R31+'SA Oct 2020'!P31),(($C$57*$C$58-('SA Oct 2020'!R31+'SA Oct 2020'!P31))*'SA Oct 2020'!S31/100),('SA Oct 2020'!T31*'SA Oct 2020'!S31/100))),0)</f>
        <v>0</v>
      </c>
      <c r="G69" s="50">
        <f>IF(AND('SA Oct 2020'!R47&gt;0,'SA Oct 2020'!T47&gt;0),IF(($C$57*$C$58&lt;'SA Oct 2020'!T47),(0),($C$57*$C$58-'SA Oct 2020'!T47)*'SA Oct 2020'!U47/100),IF(AND('SA Oct 2020'!R47&gt;0,'SA Oct 2020'!T47=""),IF(($C$57*$C$58&lt;'SA Oct 2020'!R47+'SA Oct 2020'!P47),(0),(($C$57*$C$58-('SA Oct 2020'!R47+'SA Oct 2020'!P47))*'SA Oct 2020'!S47/100)),IF(AND('SA Oct 2020'!P47&gt;0,'SA Oct 2020'!R47=""&gt;0),IF(($C$57*$C$58&lt;'SA Oct 2020'!P47),(0),($C$57*$C$58-'SA Oct 2020'!P47)*'SA Oct 2020'!Q47/100),0)))</f>
        <v>0</v>
      </c>
      <c r="H69" s="51">
        <f>($C$57*$C$59)*'SA Oct 2020'!W47/100</f>
        <v>382.22727272727275</v>
      </c>
      <c r="I69" s="52">
        <f t="shared" si="85"/>
        <v>1883.0113636363635</v>
      </c>
      <c r="J69" s="109">
        <f t="shared" si="86"/>
        <v>7205.272727272727</v>
      </c>
      <c r="K69" s="109">
        <f t="shared" si="81"/>
        <v>7532.045454545454</v>
      </c>
      <c r="L69" s="53">
        <f t="shared" si="82"/>
        <v>8285.25</v>
      </c>
      <c r="M69" s="54">
        <f>'SA Oct 2020'!BB47</f>
        <v>14</v>
      </c>
      <c r="N69" s="54">
        <f>'SA Oct 2020'!BC47</f>
        <v>0</v>
      </c>
      <c r="O69" s="54">
        <f>'SA Oct 2020'!BD47</f>
        <v>0</v>
      </c>
      <c r="P69" s="54">
        <f>'SA Oct 2020'!BE47</f>
        <v>0</v>
      </c>
      <c r="Q69" s="110" t="str">
        <f t="shared" ref="Q69:Q73" si="90">IF(SUM(M69:P69)=0,"No discount",IF(M69&gt;0,"Guaranteed off bill",IF(N69&gt;0,"Guaranteed off usage",IF(O69&gt;0,"Pay-on-time off bill","Pay-on-time off usage"))))</f>
        <v>Guaranteed off bill</v>
      </c>
      <c r="R69" s="73" t="str">
        <f t="shared" si="84"/>
        <v>Inclusive</v>
      </c>
      <c r="S69" s="111">
        <f t="shared" si="88"/>
        <v>6477.5590909090906</v>
      </c>
      <c r="T69" s="112">
        <f t="shared" si="89"/>
        <v>6477.5590909090906</v>
      </c>
      <c r="U69" s="97">
        <f t="shared" si="87"/>
        <v>7125.3150000000005</v>
      </c>
      <c r="V69" s="98">
        <f t="shared" si="87"/>
        <v>7125.3150000000005</v>
      </c>
      <c r="W69" s="55">
        <f>'SA Oct 2020'!BL47</f>
        <v>0</v>
      </c>
      <c r="X69" s="56" t="str">
        <f>'SA Oct 2020'!BM47</f>
        <v>n</v>
      </c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295"/>
      <c r="AN69" s="295"/>
      <c r="AO69" s="295"/>
      <c r="AP69" s="295"/>
      <c r="AQ69" s="295"/>
      <c r="AR69" s="295"/>
      <c r="AS69" s="295"/>
      <c r="AT69" s="295"/>
      <c r="AU69" s="295"/>
      <c r="AV69" s="295"/>
      <c r="AW69" s="295"/>
      <c r="AX69" s="295"/>
      <c r="AY69" s="295"/>
      <c r="AZ69" s="295"/>
      <c r="BA69" s="295"/>
    </row>
    <row r="70" spans="1:53" x14ac:dyDescent="0.15">
      <c r="A70" s="70" t="str">
        <f>'SA Oct 2020'!K48</f>
        <v>Powerdirect</v>
      </c>
      <c r="B70" s="49" t="str">
        <f>'SA Oct 2020'!L48</f>
        <v>Business Rate Saver</v>
      </c>
      <c r="C70" s="46">
        <f>IF('SA Oct 2020'!BP48=0,91*'SA Oct 2020'!M48/100,(91*'SA Oct 2020'!M48/100)+'SA Oct 2020'!BP48/4)</f>
        <v>70.458818181818174</v>
      </c>
      <c r="D70" s="46">
        <f>IF('SA Oct 2020'!O48="",$C$57*$C$58*'SA Oct 2020'!N48/100,IF($C$57*$C$58&gt;='SA Oct 2020'!P48,('SA Oct 2020'!P48*'SA Oct 2020'!N48/100),($C$57*$C$58*'SA Oct 2020'!N48/100)))</f>
        <v>1179.4999999999998</v>
      </c>
      <c r="E70" s="46">
        <f>IF(AND('SA Oct 2020'!P48&gt;0,'SA Oct 2020'!R48&gt;0),IF($C$57*$C$58&lt;'SA Oct 2020'!P48,0,IF($C$57*$C$58&lt;=('SA Oct 2020'!R48+'SA Oct 2020'!P48),(($C$57*$C$58-'SA Oct 2020'!P48)*'SA Oct 2020'!Q48/100),(('SA Oct 2020'!R48)*'SA Oct 2020'!Q48/100))),0)</f>
        <v>0</v>
      </c>
      <c r="F70" s="46">
        <f>IF(AND('SA Oct 2020'!Q32&gt;0,'SA Oct 2020'!S32&gt;0),IF($C$57*$C$58&lt;('SA Oct 2020'!R32+'SA Oct 2020'!P32),0,IF($C$57*$C$58&lt;=('SA Oct 2020'!T32+'SA Oct 2020'!R32+'SA Oct 2020'!P32),(($C$57*$C$58-('SA Oct 2020'!R32+'SA Oct 2020'!P32))*'SA Oct 2020'!S32/100),('SA Oct 2020'!T32*'SA Oct 2020'!S32/100))),0)</f>
        <v>0</v>
      </c>
      <c r="G70" s="50">
        <f>IF(AND('SA Oct 2020'!R48&gt;0,'SA Oct 2020'!T48&gt;0),IF(($C$57*$C$58&lt;'SA Oct 2020'!T48),(0),($C$57*$C$58-'SA Oct 2020'!T48)*'SA Oct 2020'!U48/100),IF(AND('SA Oct 2020'!R48&gt;0,'SA Oct 2020'!T48=""),IF(($C$57*$C$58&lt;'SA Oct 2020'!R48+'SA Oct 2020'!P48),(0),(($C$57*$C$58-('SA Oct 2020'!R48+'SA Oct 2020'!P48))*'SA Oct 2020'!S48/100)),IF(AND('SA Oct 2020'!P48&gt;0,'SA Oct 2020'!R48=""&gt;0),IF(($C$57*$C$58&lt;'SA Oct 2020'!P48),(0),($C$57*$C$58-'SA Oct 2020'!P48)*'SA Oct 2020'!Q48/100),0)))</f>
        <v>0</v>
      </c>
      <c r="H70" s="51">
        <f>($C$57*$C$59)*'SA Oct 2020'!W48/100</f>
        <v>326.31818181818181</v>
      </c>
      <c r="I70" s="52">
        <f t="shared" si="85"/>
        <v>1576.2769999999998</v>
      </c>
      <c r="J70" s="109">
        <f t="shared" si="86"/>
        <v>6023.2727272727261</v>
      </c>
      <c r="K70" s="109">
        <f t="shared" si="81"/>
        <v>6305.1079999999993</v>
      </c>
      <c r="L70" s="53">
        <f t="shared" si="82"/>
        <v>6935.6188000000002</v>
      </c>
      <c r="M70" s="54">
        <f>'SA Oct 2020'!BB48</f>
        <v>0</v>
      </c>
      <c r="N70" s="54">
        <f>'SA Oct 2020'!BC48</f>
        <v>0</v>
      </c>
      <c r="O70" s="54">
        <f>'SA Oct 2020'!BD48</f>
        <v>0</v>
      </c>
      <c r="P70" s="54">
        <f>'SA Oct 2020'!BE48</f>
        <v>0</v>
      </c>
      <c r="Q70" s="110" t="str">
        <f t="shared" si="90"/>
        <v>No discount</v>
      </c>
      <c r="R70" s="73" t="str">
        <f t="shared" si="84"/>
        <v>Exclusive</v>
      </c>
      <c r="S70" s="111">
        <f t="shared" si="88"/>
        <v>6305.1079999999993</v>
      </c>
      <c r="T70" s="112">
        <f t="shared" si="89"/>
        <v>6305.1079999999993</v>
      </c>
      <c r="U70" s="97">
        <f t="shared" si="87"/>
        <v>6935.6188000000002</v>
      </c>
      <c r="V70" s="98">
        <f t="shared" si="87"/>
        <v>6935.6188000000002</v>
      </c>
      <c r="W70" s="55">
        <f>'SA Oct 2020'!BL48</f>
        <v>0</v>
      </c>
      <c r="X70" s="56" t="str">
        <f>'SA Oct 2020'!BM48</f>
        <v>n</v>
      </c>
      <c r="Z70" s="295"/>
      <c r="AB70" s="295"/>
      <c r="AD70" s="295"/>
      <c r="AF70" s="295"/>
      <c r="AH70" s="295"/>
      <c r="AJ70" s="295"/>
      <c r="AL70" s="295"/>
      <c r="AN70" s="295"/>
      <c r="AP70" s="295"/>
      <c r="AR70" s="295"/>
      <c r="AT70" s="295"/>
      <c r="AV70" s="295"/>
      <c r="AX70" s="295"/>
      <c r="AZ70" s="295"/>
    </row>
    <row r="71" spans="1:53" x14ac:dyDescent="0.15">
      <c r="A71" s="70" t="str">
        <f>'SA Oct 2020'!K49</f>
        <v>Red Energy</v>
      </c>
      <c r="B71" s="49" t="str">
        <f>'SA Oct 2020'!L49</f>
        <v>Red Business Saver</v>
      </c>
      <c r="C71" s="46">
        <f>IF('SA Oct 2020'!BP49=0,91*'SA Oct 2020'!M49/100,(91*'SA Oct 2020'!M49/100)+'SA Oct 2020'!BP49/4)</f>
        <v>79.260999999999996</v>
      </c>
      <c r="D71" s="46">
        <f>IF('SA Oct 2020'!O49="",$C$57*$C$58*'SA Oct 2020'!N49/100,IF($C$57*$C$58&gt;='SA Oct 2020'!P49,('SA Oct 2020'!P49*'SA Oct 2020'!N49/100),($C$57*$C$58*'SA Oct 2020'!N49/100)))</f>
        <v>1235.4999999999998</v>
      </c>
      <c r="E71" s="46">
        <f>IF(AND('SA Oct 2020'!P49&gt;0,'SA Oct 2020'!R49&gt;0),IF($C$57*$C$58&lt;'SA Oct 2020'!P49,0,IF($C$57*$C$58&lt;=('SA Oct 2020'!R49+'SA Oct 2020'!P49),(($C$57*$C$58-'SA Oct 2020'!P49)*'SA Oct 2020'!Q49/100),(('SA Oct 2020'!R49)*'SA Oct 2020'!Q49/100))),0)</f>
        <v>0</v>
      </c>
      <c r="F71" s="46">
        <f>IF(AND('SA Oct 2020'!Q33&gt;0,'SA Oct 2020'!S33&gt;0),IF($C$57*$C$58&lt;('SA Oct 2020'!R33+'SA Oct 2020'!P33),0,IF($C$57*$C$58&lt;=('SA Oct 2020'!T33+'SA Oct 2020'!R33+'SA Oct 2020'!P33),(($C$57*$C$58-('SA Oct 2020'!R33+'SA Oct 2020'!P33))*'SA Oct 2020'!S33/100),('SA Oct 2020'!T33*'SA Oct 2020'!S33/100))),0)</f>
        <v>0</v>
      </c>
      <c r="G71" s="50">
        <f>IF(AND('SA Oct 2020'!R49&gt;0,'SA Oct 2020'!T49&gt;0),IF(($C$57*$C$58&lt;'SA Oct 2020'!T49),(0),($C$57*$C$58-'SA Oct 2020'!T49)*'SA Oct 2020'!U49/100),IF(AND('SA Oct 2020'!R49&gt;0,'SA Oct 2020'!T49=""),IF(($C$57*$C$58&lt;'SA Oct 2020'!R49+'SA Oct 2020'!P49),(0),(($C$57*$C$58-('SA Oct 2020'!R49+'SA Oct 2020'!P49))*'SA Oct 2020'!S49/100)),IF(AND('SA Oct 2020'!P49&gt;0,'SA Oct 2020'!R49=""&gt;0),IF(($C$57*$C$58&lt;'SA Oct 2020'!P49),(0),($C$57*$C$58-'SA Oct 2020'!P49)*'SA Oct 2020'!Q49/100),0)))</f>
        <v>0</v>
      </c>
      <c r="H71" s="51">
        <f>($C$57*$C$59)*'SA Oct 2020'!W49/100</f>
        <v>446.99999999999994</v>
      </c>
      <c r="I71" s="52">
        <f t="shared" si="85"/>
        <v>1761.7609999999997</v>
      </c>
      <c r="J71" s="109">
        <f t="shared" si="86"/>
        <v>6729.9999999999991</v>
      </c>
      <c r="K71" s="109">
        <f t="shared" si="81"/>
        <v>7047.043999999999</v>
      </c>
      <c r="L71" s="53">
        <f t="shared" si="82"/>
        <v>7751.7483999999995</v>
      </c>
      <c r="M71" s="54">
        <f>'SA Oct 2020'!BB49</f>
        <v>0</v>
      </c>
      <c r="N71" s="54">
        <f>'SA Oct 2020'!BC49</f>
        <v>0</v>
      </c>
      <c r="O71" s="54">
        <f>'SA Oct 2020'!BD49</f>
        <v>0</v>
      </c>
      <c r="P71" s="54">
        <f>'SA Oct 2020'!BE49</f>
        <v>0</v>
      </c>
      <c r="Q71" s="110" t="str">
        <f t="shared" si="90"/>
        <v>No discount</v>
      </c>
      <c r="R71" s="73" t="str">
        <f t="shared" si="84"/>
        <v>Inclusive</v>
      </c>
      <c r="S71" s="111">
        <f t="shared" si="88"/>
        <v>7047.043999999999</v>
      </c>
      <c r="T71" s="112">
        <f t="shared" si="89"/>
        <v>7047.043999999999</v>
      </c>
      <c r="U71" s="97">
        <f t="shared" si="87"/>
        <v>7751.7483999999995</v>
      </c>
      <c r="V71" s="98">
        <f t="shared" si="87"/>
        <v>7751.7483999999995</v>
      </c>
      <c r="W71" s="55">
        <f>'SA Oct 2020'!BL49</f>
        <v>0</v>
      </c>
      <c r="X71" s="56" t="str">
        <f>'SA Oct 2020'!BM49</f>
        <v>n</v>
      </c>
      <c r="Z71" s="295"/>
      <c r="AB71" s="295"/>
      <c r="AD71" s="295"/>
      <c r="AF71" s="295"/>
      <c r="AH71" s="295"/>
      <c r="AJ71" s="295"/>
      <c r="AL71" s="295"/>
      <c r="AN71" s="295"/>
      <c r="AP71" s="295"/>
      <c r="AR71" s="295"/>
      <c r="AT71" s="295"/>
      <c r="AV71" s="295"/>
      <c r="AX71" s="295"/>
      <c r="AZ71" s="295"/>
    </row>
    <row r="72" spans="1:53" x14ac:dyDescent="0.15">
      <c r="A72" s="70" t="str">
        <f>'SA Oct 2020'!K50</f>
        <v>Powershop</v>
      </c>
      <c r="B72" s="49" t="str">
        <f>'SA Oct 2020'!L50</f>
        <v>Shopper with Mega Pack</v>
      </c>
      <c r="C72" s="46">
        <f>IF('SA Oct 2020'!BP50=0,91*'SA Oct 2020'!M50/100,(91*'SA Oct 2020'!M50/100)+'SA Oct 2020'!BP50/4)</f>
        <v>109.82045454545454</v>
      </c>
      <c r="D72" s="46">
        <f>IF('SA Oct 2020'!O50="",$C$57*$C$58*'SA Oct 2020'!N50/100,IF($C$57*$C$58&gt;='SA Oct 2020'!P50,('SA Oct 2020'!P50*'SA Oct 2020'!N50/100),($C$57*$C$58*'SA Oct 2020'!N50/100)))</f>
        <v>1099.9545454545455</v>
      </c>
      <c r="E72" s="46">
        <f>IF(AND('SA Oct 2020'!P50&gt;0,'SA Oct 2020'!R50&gt;0),IF($C$57*$C$58&lt;'SA Oct 2020'!P50,0,IF($C$57*$C$58&lt;=('SA Oct 2020'!R50+'SA Oct 2020'!P50),(($C$57*$C$58-'SA Oct 2020'!P50)*'SA Oct 2020'!Q50/100),(('SA Oct 2020'!R50)*'SA Oct 2020'!Q50/100))),0)</f>
        <v>0</v>
      </c>
      <c r="F72" s="46">
        <f>IF(AND('SA Oct 2020'!Q34&gt;0,'SA Oct 2020'!S34&gt;0),IF($C$57*$C$58&lt;('SA Oct 2020'!R34+'SA Oct 2020'!P34),0,IF($C$57*$C$58&lt;=('SA Oct 2020'!T34+'SA Oct 2020'!R34+'SA Oct 2020'!P34),(($C$57*$C$58-('SA Oct 2020'!R34+'SA Oct 2020'!P34))*'SA Oct 2020'!S34/100),('SA Oct 2020'!T34*'SA Oct 2020'!S34/100))),0)</f>
        <v>0</v>
      </c>
      <c r="G72" s="50">
        <f>IF(AND('SA Oct 2020'!R50&gt;0,'SA Oct 2020'!T50&gt;0),IF(($C$57*$C$58&lt;'SA Oct 2020'!T50),(0),($C$57*$C$58-'SA Oct 2020'!T50)*'SA Oct 2020'!U50/100),IF(AND('SA Oct 2020'!R50&gt;0,'SA Oct 2020'!T50=""),IF(($C$57*$C$58&lt;'SA Oct 2020'!R50+'SA Oct 2020'!P50),(0),(($C$57*$C$58-('SA Oct 2020'!R50+'SA Oct 2020'!P50))*'SA Oct 2020'!S50/100)),IF(AND('SA Oct 2020'!P50&gt;0,'SA Oct 2020'!R50=""&gt;0),IF(($C$57*$C$58&lt;'SA Oct 2020'!P50),(0),($C$57*$C$58-'SA Oct 2020'!P50)*'SA Oct 2020'!Q50/100),0)))</f>
        <v>0</v>
      </c>
      <c r="H72" s="51">
        <f>($C$57*$C$59)*'SA Oct 2020'!W50/100</f>
        <v>379.22727272727263</v>
      </c>
      <c r="I72" s="52">
        <f t="shared" si="85"/>
        <v>1589.0022727272726</v>
      </c>
      <c r="J72" s="109">
        <f t="shared" si="86"/>
        <v>5916.7272727272721</v>
      </c>
      <c r="K72" s="109">
        <f t="shared" si="81"/>
        <v>6356.0090909090904</v>
      </c>
      <c r="L72" s="53">
        <f t="shared" si="82"/>
        <v>6991.61</v>
      </c>
      <c r="M72" s="54">
        <f>'SA Oct 2020'!BB50</f>
        <v>0</v>
      </c>
      <c r="N72" s="54">
        <f>'SA Oct 2020'!BC50</f>
        <v>0</v>
      </c>
      <c r="O72" s="54">
        <f>'SA Oct 2020'!BD50</f>
        <v>6</v>
      </c>
      <c r="P72" s="54">
        <f>'SA Oct 2020'!BE50</f>
        <v>0</v>
      </c>
      <c r="Q72" s="110" t="str">
        <f t="shared" si="90"/>
        <v>Pay-on-time off bill</v>
      </c>
      <c r="R72" s="73" t="str">
        <f t="shared" si="84"/>
        <v>Inclusive</v>
      </c>
      <c r="S72" s="111">
        <f t="shared" si="88"/>
        <v>6356.0090909090904</v>
      </c>
      <c r="T72" s="112">
        <f t="shared" si="89"/>
        <v>5974.6485454545455</v>
      </c>
      <c r="U72" s="97">
        <f t="shared" si="87"/>
        <v>6991.61</v>
      </c>
      <c r="V72" s="98">
        <f t="shared" si="87"/>
        <v>6572.1134000000002</v>
      </c>
      <c r="W72" s="55">
        <f>'SA Oct 2020'!BL50</f>
        <v>0</v>
      </c>
      <c r="X72" s="56" t="str">
        <f>'SA Oct 2020'!BM50</f>
        <v>n</v>
      </c>
      <c r="Z72" s="295"/>
      <c r="AB72" s="295"/>
      <c r="AD72" s="295"/>
      <c r="AF72" s="295"/>
      <c r="AH72" s="295"/>
      <c r="AJ72" s="295"/>
      <c r="AL72" s="295"/>
      <c r="AN72" s="295"/>
      <c r="AP72" s="295"/>
      <c r="AR72" s="295"/>
      <c r="AT72" s="295"/>
      <c r="AV72" s="295"/>
      <c r="AX72" s="295"/>
      <c r="AZ72" s="295"/>
    </row>
    <row r="73" spans="1:53" x14ac:dyDescent="0.15">
      <c r="A73" s="70" t="str">
        <f>'SA Oct 2020'!K51</f>
        <v>Energy Locals</v>
      </c>
      <c r="B73" s="49" t="str">
        <f>'SA Oct 2020'!L51</f>
        <v>Business Member</v>
      </c>
      <c r="C73" s="46">
        <f>IF('SA Oct 2020'!BP51=0,91*'SA Oct 2020'!M51/100,(91*'SA Oct 2020'!M51/100)+'SA Oct 2020'!BP51/4)</f>
        <v>113.26281818181815</v>
      </c>
      <c r="D73" s="46">
        <f>IF('SA Oct 2020'!O51="",$C$57*$C$58*'SA Oct 2020'!N51/100,IF($C$57*$C$58&gt;='SA Oct 2020'!P51,('SA Oct 2020'!P51*'SA Oct 2020'!N51/100),($C$57*$C$58*'SA Oct 2020'!N51/100)))</f>
        <v>986.36363636363637</v>
      </c>
      <c r="E73" s="46">
        <f>IF(AND('SA Oct 2020'!P51&gt;0,'SA Oct 2020'!R51&gt;0),IF($C$57*$C$58&lt;'SA Oct 2020'!P51,0,IF($C$57*$C$58&lt;=('SA Oct 2020'!R51+'SA Oct 2020'!P51),(($C$57*$C$58-'SA Oct 2020'!P51)*'SA Oct 2020'!Q51/100),(('SA Oct 2020'!R51)*'SA Oct 2020'!Q51/100))),0)</f>
        <v>0</v>
      </c>
      <c r="F73" s="46">
        <f>IF(AND('SA Oct 2020'!Q35&gt;0,'SA Oct 2020'!S35&gt;0),IF($C$57*$C$58&lt;('SA Oct 2020'!R35+'SA Oct 2020'!P35),0,IF($C$57*$C$58&lt;=('SA Oct 2020'!T35+'SA Oct 2020'!R35+'SA Oct 2020'!P35),(($C$57*$C$58-('SA Oct 2020'!R35+'SA Oct 2020'!P35))*'SA Oct 2020'!S35/100),('SA Oct 2020'!T35*'SA Oct 2020'!S35/100))),0)</f>
        <v>0</v>
      </c>
      <c r="G73" s="50">
        <f>IF(AND('SA Oct 2020'!R51&gt;0,'SA Oct 2020'!T51&gt;0),IF(($C$57*$C$58&lt;'SA Oct 2020'!T51),(0),($C$57*$C$58-'SA Oct 2020'!T51)*'SA Oct 2020'!U51/100),IF(AND('SA Oct 2020'!R51&gt;0,'SA Oct 2020'!T51=""),IF(($C$57*$C$58&lt;'SA Oct 2020'!R51+'SA Oct 2020'!P51),(0),(($C$57*$C$58-('SA Oct 2020'!R51+'SA Oct 2020'!P51))*'SA Oct 2020'!S51/100)),IF(AND('SA Oct 2020'!P51&gt;0,'SA Oct 2020'!R51=""&gt;0),IF(($C$57*$C$58&lt;'SA Oct 2020'!P51),(0),($C$57*$C$58-'SA Oct 2020'!P51)*'SA Oct 2020'!Q51/100),0)))</f>
        <v>0</v>
      </c>
      <c r="H73" s="51">
        <f>($C$57*$C$59)*'SA Oct 2020'!W51/100</f>
        <v>286.36363636363637</v>
      </c>
      <c r="I73" s="52">
        <f t="shared" si="85"/>
        <v>1385.9900909090911</v>
      </c>
      <c r="J73" s="109">
        <f t="shared" si="86"/>
        <v>5090.9090909090919</v>
      </c>
      <c r="K73" s="109">
        <f t="shared" si="81"/>
        <v>5543.9603636363645</v>
      </c>
      <c r="L73" s="53">
        <f t="shared" si="82"/>
        <v>6098.3564000000015</v>
      </c>
      <c r="M73" s="54">
        <f>'SA Oct 2020'!BB51</f>
        <v>0</v>
      </c>
      <c r="N73" s="54">
        <f>'SA Oct 2020'!BC51</f>
        <v>0</v>
      </c>
      <c r="O73" s="54">
        <f>'SA Oct 2020'!BD51</f>
        <v>0</v>
      </c>
      <c r="P73" s="54">
        <f>'SA Oct 2020'!BE51</f>
        <v>0</v>
      </c>
      <c r="Q73" s="110" t="str">
        <f t="shared" si="90"/>
        <v>No discount</v>
      </c>
      <c r="R73" s="73" t="str">
        <f t="shared" si="84"/>
        <v>Exclusive</v>
      </c>
      <c r="S73" s="111">
        <f t="shared" si="88"/>
        <v>5543.9603636363645</v>
      </c>
      <c r="T73" s="112">
        <f t="shared" si="89"/>
        <v>5543.9603636363645</v>
      </c>
      <c r="U73" s="97">
        <f t="shared" si="87"/>
        <v>6098.3564000000015</v>
      </c>
      <c r="V73" s="98">
        <f t="shared" si="87"/>
        <v>6098.3564000000015</v>
      </c>
      <c r="W73" s="55">
        <f>'SA Oct 2020'!BL51</f>
        <v>0</v>
      </c>
      <c r="X73" s="56" t="str">
        <f>'SA Oct 2020'!BM51</f>
        <v>n</v>
      </c>
      <c r="Z73" s="295"/>
      <c r="AB73" s="295"/>
      <c r="AD73" s="295"/>
      <c r="AF73" s="295"/>
      <c r="AH73" s="295"/>
      <c r="AJ73" s="295"/>
      <c r="AL73" s="295"/>
      <c r="AN73" s="295"/>
      <c r="AP73" s="295"/>
      <c r="AR73" s="295"/>
      <c r="AT73" s="295"/>
      <c r="AV73" s="295"/>
      <c r="AX73" s="295"/>
      <c r="AZ73" s="295"/>
    </row>
    <row r="74" spans="1:53" x14ac:dyDescent="0.15">
      <c r="A74" s="70" t="str">
        <f>'SA Oct 2020'!K52</f>
        <v>Discover Energy</v>
      </c>
      <c r="B74" s="49" t="str">
        <f>'SA Oct 2020'!L52</f>
        <v>Business Smart Saver</v>
      </c>
      <c r="C74" s="46">
        <f>IF('SA Oct 2020'!BP52=0,91*'SA Oct 2020'!M52/100,(91*'SA Oct 2020'!M52/100)+'SA Oct 2020'!BP52/4)</f>
        <v>81.900000000000006</v>
      </c>
      <c r="D74" s="46">
        <f>IF('SA Oct 2020'!O52="",$C$57*$C$58*'SA Oct 2020'!N52/100,IF($C$57*$C$58&gt;='SA Oct 2020'!P52,('SA Oct 2020'!P52*'SA Oct 2020'!N52/100),($C$57*$C$58*'SA Oct 2020'!N52/100)))</f>
        <v>1400</v>
      </c>
      <c r="E74" s="46">
        <f>IF(AND('SA Oct 2020'!P52&gt;0,'SA Oct 2020'!R52&gt;0),IF($C$57*$C$58&lt;'SA Oct 2020'!P52,0,IF($C$57*$C$58&lt;=('SA Oct 2020'!R52+'SA Oct 2020'!P52),(($C$57*$C$58-'SA Oct 2020'!P52)*'SA Oct 2020'!Q52/100),(('SA Oct 2020'!R52)*'SA Oct 2020'!Q52/100))),0)</f>
        <v>0</v>
      </c>
      <c r="F74" s="46">
        <f>IF(AND('SA Oct 2020'!Q36&gt;0,'SA Oct 2020'!S36&gt;0),IF($C$57*$C$58&lt;('SA Oct 2020'!R36+'SA Oct 2020'!P36),0,IF($C$57*$C$58&lt;=('SA Oct 2020'!T36+'SA Oct 2020'!R36+'SA Oct 2020'!P36),(($C$57*$C$58-('SA Oct 2020'!R36+'SA Oct 2020'!P36))*'SA Oct 2020'!S36/100),('SA Oct 2020'!T36*'SA Oct 2020'!S36/100))),0)</f>
        <v>0</v>
      </c>
      <c r="G74" s="50">
        <f>IF(AND('SA Oct 2020'!R52&gt;0,'SA Oct 2020'!T52&gt;0),IF(($C$57*$C$58&lt;'SA Oct 2020'!T52),(0),($C$57*$C$58-'SA Oct 2020'!T52)*'SA Oct 2020'!U52/100),IF(AND('SA Oct 2020'!R52&gt;0,'SA Oct 2020'!T52=""),IF(($C$57*$C$58&lt;'SA Oct 2020'!R52+'SA Oct 2020'!P52),(0),(($C$57*$C$58-('SA Oct 2020'!R52+'SA Oct 2020'!P52))*'SA Oct 2020'!S52/100)),IF(AND('SA Oct 2020'!P52&gt;0,'SA Oct 2020'!R52=""&gt;0),IF(($C$57*$C$58&lt;'SA Oct 2020'!P52),(0),($C$57*$C$58-'SA Oct 2020'!P52)*'SA Oct 2020'!Q52/100),0)))</f>
        <v>0</v>
      </c>
      <c r="H74" s="51">
        <f>($C$57*$C$59)*'SA Oct 2020'!W52/100</f>
        <v>360</v>
      </c>
      <c r="I74" s="52">
        <f t="shared" ref="I74" si="91">SUM(C74:H74)</f>
        <v>1841.9</v>
      </c>
      <c r="J74" s="109">
        <f t="shared" ref="J74" si="92">(I74-C74)*4</f>
        <v>7040</v>
      </c>
      <c r="K74" s="109">
        <f t="shared" ref="K74" si="93">I74*4</f>
        <v>7367.6</v>
      </c>
      <c r="L74" s="53">
        <f t="shared" ref="L74" si="94">K74*1.1</f>
        <v>8104.3600000000015</v>
      </c>
      <c r="M74" s="54">
        <f>'SA Oct 2020'!BB52</f>
        <v>0</v>
      </c>
      <c r="N74" s="54">
        <f>'SA Oct 2020'!BC52</f>
        <v>15</v>
      </c>
      <c r="O74" s="54">
        <f>'SA Oct 2020'!BD52</f>
        <v>0</v>
      </c>
      <c r="P74" s="54">
        <f>'SA Oct 2020'!BE52</f>
        <v>0</v>
      </c>
      <c r="Q74" s="110" t="str">
        <f t="shared" ref="Q74" si="95">IF(SUM(M74:P74)=0,"No discount",IF(M74&gt;0,"Guaranteed off bill",IF(N74&gt;0,"Guaranteed off usage",IF(O74&gt;0,"Pay-on-time off bill","Pay-on-time off usage"))))</f>
        <v>Guaranteed off usage</v>
      </c>
      <c r="R74" s="73" t="str">
        <f t="shared" ref="R74" si="96">IF(OR(A74="Origin Energy",A74="Red Energy",A74="Powershop"),"Inclusive","Exclusive")</f>
        <v>Exclusive</v>
      </c>
      <c r="S74" s="111">
        <f t="shared" ref="S74" si="97">IF(AND(Q74="Guaranteed off bill",R74="Inclusive"),((K74*1.1)-((K74*1.1)*M74/100))/1.1,IF(AND(Q74="Guaranteed off usage",R74="Inclusive"),((K74*1.1)-((J74*1.1)*N74/100))/1.1,IF(AND(Q74="Guaranteed off bill",R74="Exclusive"),K74-(K74*M74/100),IF(AND(Q74="Guaranteed off usage",R74="Exclusive"),K74-(J74*N74/100),IF(R74="Inclusive",((K74*1.1))/1.1,K74)))))</f>
        <v>6311.6</v>
      </c>
      <c r="T74" s="112">
        <f t="shared" ref="T74" si="98">IF(AND(Q74="Pay-on-time off bill",R74="Inclusive"),((S74*1.1)-((S74*1.1)*O74/100))/1.1,IF(AND(Q74="Pay-on-time off usage",R74="Inclusive"),((S74*1.1)-((J74*1.1)*P74/100))/1.1,IF(AND(Q74="Pay-on-time off bill",R74="Exclusive"),S74-(S74*O74/100),IF(AND(Q74="Pay-on-time off usage",R74="Exclusive"),S74-(J74*P74/100),IF(R74="Inclusive",((S74*1.1))/1.1,S74)))))</f>
        <v>6311.6</v>
      </c>
      <c r="U74" s="97">
        <f t="shared" ref="U74" si="99">S74*1.1</f>
        <v>6942.7600000000011</v>
      </c>
      <c r="V74" s="98">
        <f t="shared" ref="V74" si="100">T74*1.1</f>
        <v>6942.7600000000011</v>
      </c>
      <c r="W74" s="55">
        <f>'SA Oct 2020'!BL52</f>
        <v>0</v>
      </c>
      <c r="X74" s="56" t="str">
        <f>'SA Oct 2020'!BM52</f>
        <v>n</v>
      </c>
      <c r="Z74" s="295"/>
      <c r="AB74" s="295"/>
      <c r="AD74" s="295"/>
      <c r="AF74" s="295"/>
      <c r="AH74" s="295"/>
      <c r="AJ74" s="295"/>
      <c r="AL74" s="295"/>
      <c r="AN74" s="295"/>
      <c r="AP74" s="295"/>
      <c r="AR74" s="295"/>
      <c r="AT74" s="295"/>
      <c r="AV74" s="295"/>
      <c r="AX74" s="295"/>
      <c r="AZ74" s="295"/>
    </row>
    <row r="75" spans="1:53" x14ac:dyDescent="0.15">
      <c r="A75" s="70" t="str">
        <f>'SA Oct 2020'!K53</f>
        <v>Next Business Energy</v>
      </c>
      <c r="B75" s="49" t="str">
        <f>'SA Oct 2020'!L53</f>
        <v>Assured</v>
      </c>
      <c r="C75" s="46">
        <f>IF('SA Oct 2020'!BP53=0,91*'SA Oct 2020'!M53/100,(91*'SA Oct 2020'!M53/100)+'SA Oct 2020'!BP53/4)</f>
        <v>78.169000000000011</v>
      </c>
      <c r="D75" s="46">
        <f>IF('SA Oct 2020'!O53="",$C$57*$C$58*'SA Oct 2020'!N53/100,IF($C$57*$C$58&gt;='SA Oct 2020'!P53,('SA Oct 2020'!P53*'SA Oct 2020'!N53/100),($C$57*$C$58*'SA Oct 2020'!N53/100)))</f>
        <v>1015</v>
      </c>
      <c r="E75" s="46">
        <f>IF(AND('SA Oct 2020'!P53&gt;0,'SA Oct 2020'!R53&gt;0),IF($C$57*$C$58&lt;'SA Oct 2020'!P53,0,IF($C$57*$C$58&lt;=('SA Oct 2020'!R53+'SA Oct 2020'!P53),(($C$57*$C$58-'SA Oct 2020'!P53)*'SA Oct 2020'!Q53/100),(('SA Oct 2020'!R53)*'SA Oct 2020'!Q53/100))),0)</f>
        <v>0</v>
      </c>
      <c r="F75" s="46">
        <f>IF(AND('SA Oct 2020'!Q37&gt;0,'SA Oct 2020'!S37&gt;0),IF($C$57*$C$58&lt;('SA Oct 2020'!R37+'SA Oct 2020'!P37),0,IF($C$57*$C$58&lt;=('SA Oct 2020'!T37+'SA Oct 2020'!R37+'SA Oct 2020'!P37),(($C$57*$C$58-('SA Oct 2020'!R37+'SA Oct 2020'!P37))*'SA Oct 2020'!S37/100),('SA Oct 2020'!T37*'SA Oct 2020'!S37/100))),0)</f>
        <v>0</v>
      </c>
      <c r="G75" s="50">
        <f>IF(AND('SA Oct 2020'!R53&gt;0,'SA Oct 2020'!T53&gt;0),IF(($C$57*$C$58&lt;'SA Oct 2020'!T53),(0),($C$57*$C$58-'SA Oct 2020'!T53)*'SA Oct 2020'!U53/100),IF(AND('SA Oct 2020'!R53&gt;0,'SA Oct 2020'!T53=""),IF(($C$57*$C$58&lt;'SA Oct 2020'!R53+'SA Oct 2020'!P53),(0),(($C$57*$C$58-('SA Oct 2020'!R53+'SA Oct 2020'!P53))*'SA Oct 2020'!S53/100)),IF(AND('SA Oct 2020'!P53&gt;0,'SA Oct 2020'!R53=""&gt;0),IF(($C$57*$C$58&lt;'SA Oct 2020'!P53),(0),($C$57*$C$58-'SA Oct 2020'!P53)*'SA Oct 2020'!Q53/100),0)))</f>
        <v>0</v>
      </c>
      <c r="H75" s="51">
        <f>($C$57*$C$59)*'SA Oct 2020'!W53/100</f>
        <v>292.5</v>
      </c>
      <c r="I75" s="52">
        <f t="shared" ref="I75:I76" si="101">SUM(C75:H75)</f>
        <v>1385.6690000000001</v>
      </c>
      <c r="J75" s="109">
        <f t="shared" ref="J75:J76" si="102">(I75-C75)*4</f>
        <v>5230</v>
      </c>
      <c r="K75" s="109">
        <f t="shared" ref="K75:K76" si="103">I75*4</f>
        <v>5542.6760000000004</v>
      </c>
      <c r="L75" s="53">
        <f t="shared" ref="L75:L76" si="104">K75*1.1</f>
        <v>6096.9436000000005</v>
      </c>
      <c r="M75" s="54">
        <f>'SA Oct 2020'!BB53</f>
        <v>0</v>
      </c>
      <c r="N75" s="54">
        <f>'SA Oct 2020'!BC53</f>
        <v>0</v>
      </c>
      <c r="O75" s="54">
        <f>'SA Oct 2020'!BD53</f>
        <v>0</v>
      </c>
      <c r="P75" s="54">
        <f>'SA Oct 2020'!BE53</f>
        <v>0</v>
      </c>
      <c r="Q75" s="110" t="str">
        <f t="shared" ref="Q75:Q76" si="105">IF(SUM(M75:P75)=0,"No discount",IF(M75&gt;0,"Guaranteed off bill",IF(N75&gt;0,"Guaranteed off usage",IF(O75&gt;0,"Pay-on-time off bill","Pay-on-time off usage"))))</f>
        <v>No discount</v>
      </c>
      <c r="R75" s="73" t="str">
        <f t="shared" ref="R75:R76" si="106">IF(OR(A75="Origin Energy",A75="Red Energy",A75="Powershop"),"Inclusive","Exclusive")</f>
        <v>Exclusive</v>
      </c>
      <c r="S75" s="111">
        <f t="shared" ref="S75:S76" si="107">IF(AND(Q75="Guaranteed off bill",R75="Inclusive"),((K75*1.1)-((K75*1.1)*M75/100))/1.1,IF(AND(Q75="Guaranteed off usage",R75="Inclusive"),((K75*1.1)-((J75*1.1)*N75/100))/1.1,IF(AND(Q75="Guaranteed off bill",R75="Exclusive"),K75-(K75*M75/100),IF(AND(Q75="Guaranteed off usage",R75="Exclusive"),K75-(J75*N75/100),IF(R75="Inclusive",((K75*1.1))/1.1,K75)))))</f>
        <v>5542.6760000000004</v>
      </c>
      <c r="T75" s="112">
        <f t="shared" ref="T75:T76" si="108">IF(AND(Q75="Pay-on-time off bill",R75="Inclusive"),((S75*1.1)-((S75*1.1)*O75/100))/1.1,IF(AND(Q75="Pay-on-time off usage",R75="Inclusive"),((S75*1.1)-((J75*1.1)*P75/100))/1.1,IF(AND(Q75="Pay-on-time off bill",R75="Exclusive"),S75-(S75*O75/100),IF(AND(Q75="Pay-on-time off usage",R75="Exclusive"),S75-(J75*P75/100),IF(R75="Inclusive",((S75*1.1))/1.1,S75)))))</f>
        <v>5542.6760000000004</v>
      </c>
      <c r="U75" s="97">
        <f t="shared" ref="U75:U76" si="109">S75*1.1</f>
        <v>6096.9436000000005</v>
      </c>
      <c r="V75" s="98">
        <f t="shared" ref="V75:V76" si="110">T75*1.1</f>
        <v>6096.9436000000005</v>
      </c>
      <c r="W75" s="55">
        <f>'SA Oct 2020'!BL53</f>
        <v>0</v>
      </c>
      <c r="X75" s="56" t="str">
        <f>'SA Oct 2020'!BM53</f>
        <v>n</v>
      </c>
      <c r="Z75" s="295"/>
      <c r="AB75" s="295"/>
      <c r="AD75" s="295"/>
      <c r="AF75" s="295"/>
      <c r="AH75" s="295"/>
      <c r="AJ75" s="295"/>
      <c r="AL75" s="295"/>
      <c r="AN75" s="295"/>
      <c r="AP75" s="295"/>
      <c r="AR75" s="295"/>
      <c r="AT75" s="295"/>
      <c r="AV75" s="295"/>
      <c r="AX75" s="295"/>
      <c r="AZ75" s="295"/>
    </row>
    <row r="76" spans="1:53" ht="15" thickBot="1" x14ac:dyDescent="0.2">
      <c r="A76" s="71" t="str">
        <f>'SA Oct 2020'!K54</f>
        <v>QEnergy</v>
      </c>
      <c r="B76" s="57" t="str">
        <f>'SA Oct 2020'!L54</f>
        <v>Biz your Way</v>
      </c>
      <c r="C76" s="58">
        <f>IF('SA Oct 2020'!BP54=0,91*'SA Oct 2020'!M54/100,(91*'SA Oct 2020'!M54/100)+'SA Oct 2020'!BP54/4)</f>
        <v>72.8</v>
      </c>
      <c r="D76" s="58">
        <f>IF('SA Oct 2020'!O54="",$C$57*$C$58*'SA Oct 2020'!N54/100,IF($C$57*$C$58&gt;='SA Oct 2020'!P54,('SA Oct 2020'!P54*'SA Oct 2020'!N54/100),($C$57*$C$58*'SA Oct 2020'!N54/100)))</f>
        <v>1635.1363636363635</v>
      </c>
      <c r="E76" s="58">
        <f>IF(AND('SA Oct 2020'!P54&gt;0,'SA Oct 2020'!R54&gt;0),IF($C$57*$C$58&lt;'SA Oct 2020'!P54,0,IF($C$57*$C$58&lt;=('SA Oct 2020'!R54+'SA Oct 2020'!P54),(($C$57*$C$58-'SA Oct 2020'!P54)*'SA Oct 2020'!Q54/100),(('SA Oct 2020'!R54)*'SA Oct 2020'!Q54/100))),0)</f>
        <v>0</v>
      </c>
      <c r="F76" s="58">
        <f>IF(AND('SA Oct 2020'!Q38&gt;0,'SA Oct 2020'!S38&gt;0),IF($C$57*$C$58&lt;('SA Oct 2020'!R38+'SA Oct 2020'!P38),0,IF($C$57*$C$58&lt;=('SA Oct 2020'!T38+'SA Oct 2020'!R38+'SA Oct 2020'!P38),(($C$57*$C$58-('SA Oct 2020'!R38+'SA Oct 2020'!P38))*'SA Oct 2020'!S38/100),('SA Oct 2020'!T38*'SA Oct 2020'!S38/100))),0)</f>
        <v>0</v>
      </c>
      <c r="G76" s="59">
        <f>IF(AND('SA Oct 2020'!R54&gt;0,'SA Oct 2020'!T54&gt;0),IF(($C$57*$C$58&lt;'SA Oct 2020'!T54),(0),($C$57*$C$58-'SA Oct 2020'!T54)*'SA Oct 2020'!U54/100),IF(AND('SA Oct 2020'!R54&gt;0,'SA Oct 2020'!T54=""),IF(($C$57*$C$58&lt;'SA Oct 2020'!R54+'SA Oct 2020'!P54),(0),(($C$57*$C$58-('SA Oct 2020'!R54+'SA Oct 2020'!P54))*'SA Oct 2020'!S54/100)),IF(AND('SA Oct 2020'!P54&gt;0,'SA Oct 2020'!R54=""&gt;0),IF(($C$57*$C$58&lt;'SA Oct 2020'!P54),(0),($C$57*$C$58-'SA Oct 2020'!P54)*'SA Oct 2020'!Q54/100),0)))</f>
        <v>0</v>
      </c>
      <c r="H76" s="60">
        <f>($C$57*$C$59)*'SA Oct 2020'!W54/100</f>
        <v>556.77272727272714</v>
      </c>
      <c r="I76" s="61">
        <f t="shared" si="101"/>
        <v>2264.7090909090907</v>
      </c>
      <c r="J76" s="116">
        <f t="shared" si="102"/>
        <v>8767.6363636363621</v>
      </c>
      <c r="K76" s="116">
        <f t="shared" si="103"/>
        <v>9058.8363636363629</v>
      </c>
      <c r="L76" s="62">
        <f t="shared" si="104"/>
        <v>9964.7199999999993</v>
      </c>
      <c r="M76" s="63">
        <f>'SA Oct 2020'!BB54</f>
        <v>0</v>
      </c>
      <c r="N76" s="63">
        <f>'SA Oct 2020'!BC54</f>
        <v>0</v>
      </c>
      <c r="O76" s="63">
        <f>'SA Oct 2020'!BD54</f>
        <v>0</v>
      </c>
      <c r="P76" s="63">
        <f>'SA Oct 2020'!BE54</f>
        <v>0</v>
      </c>
      <c r="Q76" s="115" t="str">
        <f t="shared" si="105"/>
        <v>No discount</v>
      </c>
      <c r="R76" s="72" t="str">
        <f t="shared" si="106"/>
        <v>Exclusive</v>
      </c>
      <c r="S76" s="113">
        <f t="shared" si="107"/>
        <v>9058.8363636363629</v>
      </c>
      <c r="T76" s="114">
        <f t="shared" si="108"/>
        <v>9058.8363636363629</v>
      </c>
      <c r="U76" s="99">
        <f t="shared" si="109"/>
        <v>9964.7199999999993</v>
      </c>
      <c r="V76" s="100">
        <f t="shared" si="110"/>
        <v>9964.7199999999993</v>
      </c>
      <c r="W76" s="64">
        <f>'SA Oct 2020'!BL54</f>
        <v>0</v>
      </c>
      <c r="X76" s="65" t="str">
        <f>'SA Oct 2020'!BM54</f>
        <v>n</v>
      </c>
      <c r="Z76" s="295"/>
      <c r="AB76" s="295"/>
      <c r="AD76" s="295"/>
      <c r="AF76" s="295"/>
      <c r="AH76" s="295"/>
      <c r="AJ76" s="295"/>
      <c r="AL76" s="295"/>
      <c r="AN76" s="295"/>
      <c r="AP76" s="295"/>
      <c r="AR76" s="295"/>
      <c r="AT76" s="295"/>
      <c r="AV76" s="295"/>
      <c r="AX76" s="295"/>
      <c r="AZ76" s="295"/>
    </row>
  </sheetData>
  <sheetProtection algorithmName="SHA-512" hashValue="coqCDJC/tFGenpBAva4wqw+6VHd1Swu2LGc9nwVQ5VFjEpb/V/Wfdr+Eu4DqCc/8Q8EPHYW4+p1xzQPqKfBQsw==" saltValue="St2yirP0cD+oTrgzmto45w==" spinCount="100000" sheet="1" objects="1" scenarios="1"/>
  <conditionalFormatting sqref="A8:I28 L8:P28 U8:X28">
    <cfRule type="expression" dxfId="22" priority="2">
      <formula>MOD(ROW(),2)=0</formula>
    </cfRule>
  </conditionalFormatting>
  <conditionalFormatting sqref="A37:I53 L37:P53 U37:X53">
    <cfRule type="expression" dxfId="21" priority="1">
      <formula>MOD(ROW(),2)=0</formula>
    </cfRule>
  </conditionalFormatting>
  <conditionalFormatting sqref="A62:X76">
    <cfRule type="expression" dxfId="20" priority="3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5" max="16383" man="1" pt="1"/>
  </rowBreak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17B37-9AD1-444B-9722-FA587195505C}">
  <sheetPr codeName="Sheet2">
    <tabColor theme="5" tint="0.39997558519241921"/>
  </sheetPr>
  <dimension ref="A1:BA74"/>
  <sheetViews>
    <sheetView zoomScaleNormal="100" zoomScalePageLayoutView="125" workbookViewId="0">
      <selection activeCell="D39" sqref="D39"/>
    </sheetView>
  </sheetViews>
  <sheetFormatPr baseColWidth="10" defaultRowHeight="14" x14ac:dyDescent="0.15"/>
  <cols>
    <col min="1" max="1" width="20.33203125" style="284" customWidth="1"/>
    <col min="2" max="2" width="23.1640625" style="284" bestFit="1" customWidth="1"/>
    <col min="3" max="9" width="12.1640625" style="284" customWidth="1"/>
    <col min="10" max="11" width="12.1640625" style="284" hidden="1" customWidth="1"/>
    <col min="12" max="16" width="12.1640625" style="284" customWidth="1"/>
    <col min="17" max="20" width="12.1640625" style="284" hidden="1" customWidth="1"/>
    <col min="21" max="24" width="12.1640625" style="284" customWidth="1"/>
    <col min="25" max="53" width="7.5" style="284" customWidth="1"/>
    <col min="54" max="16384" width="10.83203125" style="284"/>
  </cols>
  <sheetData>
    <row r="1" spans="1:53" x14ac:dyDescent="0.15">
      <c r="A1" s="284" t="s">
        <v>31</v>
      </c>
    </row>
    <row r="2" spans="1:53" x14ac:dyDescent="0.15">
      <c r="A2" s="285" t="s">
        <v>236</v>
      </c>
    </row>
    <row r="3" spans="1:53" ht="15" thickBot="1" x14ac:dyDescent="0.2">
      <c r="G3" s="286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</row>
    <row r="8" spans="1:53" x14ac:dyDescent="0.15">
      <c r="A8" s="70" t="str">
        <f>'SA Apr 2020'!K2</f>
        <v>AGL</v>
      </c>
      <c r="B8" s="49" t="str">
        <f>'SA Apr 2020'!L2</f>
        <v>Business Essentials Saver</v>
      </c>
      <c r="C8" s="46">
        <f>IF('SA Apr 2020'!BP2=0,91*'SA Apr 2020'!M2/100,(91*'SA Apr 2020'!M2/100)+'SA Apr 2020'!BP2/4)</f>
        <v>69.648090909090911</v>
      </c>
      <c r="D8" s="46">
        <f>IF('SA Apr 2020'!O2="",$C$5*'SA Apr 2020'!N2/100,IF($C$5&gt;='SA Apr 2020'!P2,('SA Apr 2020'!P2*'SA Apr 2020'!N2/100),($C$5*'SA Apr 2020'!N2/100)))</f>
        <v>1711.8181818181815</v>
      </c>
      <c r="E8" s="46">
        <f>IF(AND('SA Apr 2020'!P2&gt;0,'SA Apr 2020'!R2&gt;0),IF($C$5&lt;'SA Apr 2020'!P2,0,IF($C$5&lt;=('SA Apr 2020'!R2+'SA Apr 2020'!P2),(($C$5-'SA Apr 2020'!P2)*'SA Apr 2020'!Q2/100),(('SA Apr 2020'!R2)*'SA Apr 2020'!Q2/100))),0)</f>
        <v>0</v>
      </c>
      <c r="F8" s="46">
        <f>IF(AND('SA Apr 2020'!Q2&gt;0,'SA Apr 2020'!S2&gt;0),IF($C$5&lt;('SA Apr 2020'!R2+'SA Apr 2020'!P2),0,IF($C$5&lt;=('SA Apr 2020'!T2+'SA Apr 2020'!R2+'SA Apr 2020'!P2),(($C$5-('SA Apr 2020'!R2+'SA Apr 2020'!P2))*'SA Apr 2020'!S2/100),('SA Apr 2020'!T2*'SA Apr 2020'!S2/100))),0)</f>
        <v>0</v>
      </c>
      <c r="G8" s="50">
        <v>0</v>
      </c>
      <c r="H8" s="46">
        <f>IF(AND('SA Apr 2020'!R2&gt;0,'SA Apr 2020'!T2&gt;0),IF(($C$5&lt;'SA Apr 2020'!T2),(0),($C$5-'SA Apr 2020'!T2)*'SA Apr 2020'!U2/100),IF(AND('SA Apr 2020'!R2&gt;0,'SA Apr 2020'!T2=""),IF(($C$5&lt;'SA Apr 2020'!R2+'SA Apr 2020'!P2),(0),(($C$5-('SA Apr 2020'!R2+'SA Apr 2020'!P2))*'SA Apr 2020'!S2/100)),IF(AND('SA Apr 2020'!P2&gt;0,'SA Apr 2020'!R2=""&gt;0),IF(($C$5&lt;'SA Apr 2020'!P2),(0),($C$5-'SA Apr 2020'!P2)*'SA Apr 2020'!Q2/100),0)))</f>
        <v>0</v>
      </c>
      <c r="I8" s="52">
        <f>SUM(C8:H8)</f>
        <v>1781.4662727272726</v>
      </c>
      <c r="J8" s="109">
        <f>(I8-C8)*4</f>
        <v>6847.2727272727261</v>
      </c>
      <c r="K8" s="109">
        <f t="shared" ref="K8:K13" si="0">I8*4</f>
        <v>7125.8650909090902</v>
      </c>
      <c r="L8" s="53">
        <f>K8*1.1</f>
        <v>7838.4515999999994</v>
      </c>
      <c r="M8" s="54">
        <f>'SA Apr 2020'!BB2</f>
        <v>0</v>
      </c>
      <c r="N8" s="54">
        <f>'SA Apr 2020'!BC2</f>
        <v>0</v>
      </c>
      <c r="O8" s="54">
        <f>'SA Apr 2020'!BD2</f>
        <v>0</v>
      </c>
      <c r="P8" s="54">
        <f>'SA Apr 2020'!BE2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13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7125.8650909090902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7125.8650909090902</v>
      </c>
      <c r="U8" s="97">
        <f>S8*1.1</f>
        <v>7838.4515999999994</v>
      </c>
      <c r="V8" s="98">
        <f>T8*1.1</f>
        <v>7838.4515999999994</v>
      </c>
      <c r="W8" s="55">
        <f>'SA Apr 2020'!BL2</f>
        <v>0</v>
      </c>
      <c r="X8" s="56" t="str">
        <f>'SA Apr 2020'!BM2</f>
        <v>n</v>
      </c>
    </row>
    <row r="9" spans="1:53" x14ac:dyDescent="0.15">
      <c r="A9" s="70" t="str">
        <f>'SA Apr 2020'!K3</f>
        <v>Alinta Energy</v>
      </c>
      <c r="B9" s="49" t="str">
        <f>'SA Apr 2020'!L3</f>
        <v>Business Advantage</v>
      </c>
      <c r="C9" s="46">
        <f>IF('SA Apr 2020'!BP3=0,91*'SA Apr 2020'!M3/100,(91*'SA Apr 2020'!M3/100)+'SA Apr 2020'!BP3/4)</f>
        <v>82.355000000000004</v>
      </c>
      <c r="D9" s="46">
        <f>IF('SA Apr 2020'!O3="",$C$5*'SA Apr 2020'!N3/100,IF($C$5&gt;='SA Apr 2020'!P3,('SA Apr 2020'!P3*'SA Apr 2020'!N3/100),($C$5*'SA Apr 2020'!N3/100)))</f>
        <v>1698.6363636363635</v>
      </c>
      <c r="E9" s="46">
        <f>IF(AND('SA Apr 2020'!P3&gt;0,'SA Apr 2020'!R3&gt;0),IF($C$5&lt;'SA Apr 2020'!P3,0,IF($C$5&lt;=('SA Apr 2020'!R3+'SA Apr 2020'!P3),(($C$5-'SA Apr 2020'!P3)*'SA Apr 2020'!Q3/100),(('SA Apr 2020'!R3)*'SA Apr 2020'!Q3/100))),0)</f>
        <v>0</v>
      </c>
      <c r="F9" s="46">
        <f>IF(AND('SA Apr 2020'!Q3&gt;0,'SA Apr 2020'!S3&gt;0),IF($C$5&lt;('SA Apr 2020'!R3+'SA Apr 2020'!P3),0,IF($C$5&lt;=('SA Apr 2020'!T3+'SA Apr 2020'!R3+'SA Apr 2020'!P3),(($C$5-('SA Apr 2020'!R3+'SA Apr 2020'!P3))*'SA Apr 2020'!S3/100),('SA Apr 2020'!T3*'SA Apr 2020'!S3/100))),0)</f>
        <v>0</v>
      </c>
      <c r="G9" s="50">
        <v>0</v>
      </c>
      <c r="H9" s="46">
        <f>IF(AND('SA Apr 2020'!R3&gt;0,'SA Apr 2020'!T3&gt;0),IF(($C$5&lt;'SA Apr 2020'!T3),(0),($C$5-'SA Apr 2020'!T3)*'SA Apr 2020'!U3/100),IF(AND('SA Apr 2020'!R3&gt;0,'SA Apr 2020'!T3=""),IF(($C$5&lt;'SA Apr 2020'!R3+'SA Apr 2020'!P3),(0),(($C$5-('SA Apr 2020'!R3+'SA Apr 2020'!P3))*'SA Apr 2020'!S3/100)),IF(AND('SA Apr 2020'!P3&gt;0,'SA Apr 2020'!R3=""&gt;0),IF(($C$5&lt;'SA Apr 2020'!P3),(0),($C$5-'SA Apr 2020'!P3)*'SA Apr 2020'!Q3/100),0)))</f>
        <v>0</v>
      </c>
      <c r="I9" s="52">
        <f t="shared" ref="I9:I13" si="2">SUM(C9:H9)</f>
        <v>1780.9913636363635</v>
      </c>
      <c r="J9" s="109">
        <f t="shared" ref="J9:J13" si="3">(I9-C9)*4</f>
        <v>6794.545454545454</v>
      </c>
      <c r="K9" s="109">
        <f t="shared" si="0"/>
        <v>7123.9654545454541</v>
      </c>
      <c r="L9" s="53">
        <f t="shared" ref="L9:L13" si="4">K9*1.1</f>
        <v>7836.3620000000001</v>
      </c>
      <c r="M9" s="54">
        <f>'SA Apr 2020'!BB3</f>
        <v>0</v>
      </c>
      <c r="N9" s="54">
        <f>'SA Apr 2020'!BC3</f>
        <v>0</v>
      </c>
      <c r="O9" s="54">
        <f>'SA Apr 2020'!BD3</f>
        <v>0</v>
      </c>
      <c r="P9" s="54">
        <f>'SA Apr 2020'!BE3</f>
        <v>0</v>
      </c>
      <c r="Q9" s="110" t="str">
        <f t="shared" ref="Q9:Q13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V13" si="6">S9*1.1</f>
        <v>7836.3620000000001</v>
      </c>
      <c r="V9" s="98">
        <f t="shared" si="6"/>
        <v>7836.3620000000001</v>
      </c>
      <c r="W9" s="55">
        <f>'SA Apr 2020'!BL3</f>
        <v>0</v>
      </c>
      <c r="X9" s="56" t="str">
        <f>'SA Apr 2020'!BM3</f>
        <v>n</v>
      </c>
    </row>
    <row r="10" spans="1:53" x14ac:dyDescent="0.15">
      <c r="A10" s="70" t="str">
        <f>'SA Apr 2020'!K4</f>
        <v>Click Energy</v>
      </c>
      <c r="B10" s="49" t="str">
        <f>'SA Apr 2020'!L4</f>
        <v>Click Business Start</v>
      </c>
      <c r="C10" s="46">
        <f>IF('SA Apr 2020'!BP4=0,91*'SA Apr 2020'!M4/100,(91*'SA Apr 2020'!M4/100)+'SA Apr 2020'!BP4/4)</f>
        <v>64.48590909090909</v>
      </c>
      <c r="D10" s="46">
        <f>IF('SA Apr 2020'!O4="",$C$5*'SA Apr 2020'!N4/100,IF($C$5&gt;='SA Apr 2020'!P4,('SA Apr 2020'!P4*'SA Apr 2020'!N4/100),($C$5*'SA Apr 2020'!N4/100)))</f>
        <v>1717.7272727272727</v>
      </c>
      <c r="E10" s="46">
        <f>IF(AND('SA Apr 2020'!P4&gt;0,'SA Apr 2020'!R4&gt;0),IF($C$5&lt;'SA Apr 2020'!P4,0,IF($C$5&lt;=('SA Apr 2020'!R4+'SA Apr 2020'!P4),(($C$5-'SA Apr 2020'!P4)*'SA Apr 2020'!Q4/100),(('SA Apr 2020'!R4)*'SA Apr 2020'!Q4/100))),0)</f>
        <v>0</v>
      </c>
      <c r="F10" s="46">
        <f>IF(AND('SA Apr 2020'!Q4&gt;0,'SA Apr 2020'!S4&gt;0),IF($C$5&lt;('SA Apr 2020'!R4+'SA Apr 2020'!P4),0,IF($C$5&lt;=('SA Apr 2020'!T4+'SA Apr 2020'!R4+'SA Apr 2020'!P4),(($C$5-('SA Apr 2020'!R4+'SA Apr 2020'!P4))*'SA Apr 2020'!S4/100),('SA Apr 2020'!T4*'SA Apr 2020'!S4/100))),0)</f>
        <v>0</v>
      </c>
      <c r="G10" s="50">
        <v>0</v>
      </c>
      <c r="H10" s="46">
        <f>IF(AND('SA Apr 2020'!R4&gt;0,'SA Apr 2020'!T4&gt;0),IF(($C$5&lt;'SA Apr 2020'!T4),(0),($C$5-'SA Apr 2020'!T4)*'SA Apr 2020'!U4/100),IF(AND('SA Apr 2020'!R4&gt;0,'SA Apr 2020'!T4=""),IF(($C$5&lt;'SA Apr 2020'!R4+'SA Apr 2020'!P4),(0),(($C$5-('SA Apr 2020'!R4+'SA Apr 2020'!P4))*'SA Apr 2020'!S4/100)),IF(AND('SA Apr 2020'!P4&gt;0,'SA Apr 2020'!R4=""&gt;0),IF(($C$5&lt;'SA Apr 2020'!P4),(0),($C$5-'SA Apr 2020'!P4)*'SA Apr 2020'!Q4/100),0)))</f>
        <v>0</v>
      </c>
      <c r="I10" s="52">
        <f t="shared" si="2"/>
        <v>1782.2131818181817</v>
      </c>
      <c r="J10" s="109">
        <f t="shared" si="3"/>
        <v>6870.909090909091</v>
      </c>
      <c r="K10" s="109">
        <f t="shared" si="0"/>
        <v>7128.852727272727</v>
      </c>
      <c r="L10" s="53">
        <f t="shared" si="4"/>
        <v>7841.7380000000003</v>
      </c>
      <c r="M10" s="54">
        <f>'SA Apr 2020'!BB4</f>
        <v>0</v>
      </c>
      <c r="N10" s="54">
        <f>'SA Apr 2020'!BC4</f>
        <v>0</v>
      </c>
      <c r="O10" s="54">
        <f>'SA Apr 2020'!BD4</f>
        <v>0</v>
      </c>
      <c r="P10" s="54">
        <f>'SA Apr 2020'!BE4</f>
        <v>0</v>
      </c>
      <c r="Q10" s="110" t="str">
        <f t="shared" si="5"/>
        <v>No discount</v>
      </c>
      <c r="R10" s="73" t="str">
        <f t="shared" si="1"/>
        <v>Exclusive</v>
      </c>
      <c r="S10" s="111">
        <f t="shared" ref="S10:S13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7128.852727272727</v>
      </c>
      <c r="T10" s="112">
        <f t="shared" ref="T10:T13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7128.852727272727</v>
      </c>
      <c r="U10" s="97">
        <f t="shared" si="6"/>
        <v>7841.7380000000003</v>
      </c>
      <c r="V10" s="98">
        <f t="shared" si="6"/>
        <v>7841.7380000000003</v>
      </c>
      <c r="W10" s="55">
        <f>'SA Apr 2020'!BL4</f>
        <v>0</v>
      </c>
      <c r="X10" s="56" t="str">
        <f>'SA Apr 2020'!BM4</f>
        <v>n</v>
      </c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</row>
    <row r="11" spans="1:53" x14ac:dyDescent="0.15">
      <c r="A11" s="70" t="str">
        <f>'SA Apr 2020'!K5</f>
        <v>Commander</v>
      </c>
      <c r="B11" s="49" t="str">
        <f>'SA Apr 2020'!L5</f>
        <v>Market offer</v>
      </c>
      <c r="C11" s="46">
        <f>IF('SA Apr 2020'!BP5=0,91*'SA Apr 2020'!M5/100,(91*'SA Apr 2020'!M5/100)+'SA Apr 2020'!BP5/4)</f>
        <v>87.053909090909087</v>
      </c>
      <c r="D11" s="46">
        <f>IF('SA Apr 2020'!O5="",$C$5*'SA Apr 2020'!N5/100,IF($C$5&gt;='SA Apr 2020'!P5,('SA Apr 2020'!P5*'SA Apr 2020'!N5/100),($C$5*'SA Apr 2020'!N5/100)))</f>
        <v>1687.727272727273</v>
      </c>
      <c r="E11" s="46">
        <f>IF(AND('SA Apr 2020'!P5&gt;0,'SA Apr 2020'!R5&gt;0),IF($C$5&lt;'SA Apr 2020'!P5,0,IF($C$5&lt;=('SA Apr 2020'!R5+'SA Apr 2020'!P5),(($C$5-'SA Apr 2020'!P5)*'SA Apr 2020'!Q5/100),(('SA Apr 2020'!R5)*'SA Apr 2020'!Q5/100))),0)</f>
        <v>0</v>
      </c>
      <c r="F11" s="46">
        <f>IF(AND('SA Apr 2020'!Q5&gt;0,'SA Apr 2020'!S5&gt;0),IF($C$5&lt;('SA Apr 2020'!R5+'SA Apr 2020'!P5),0,IF($C$5&lt;=('SA Apr 2020'!T5+'SA Apr 2020'!R5+'SA Apr 2020'!P5),(($C$5-('SA Apr 2020'!R5+'SA Apr 2020'!P5))*'SA Apr 2020'!S5/100),('SA Apr 2020'!T5*'SA Apr 2020'!S5/100))),0)</f>
        <v>0</v>
      </c>
      <c r="G11" s="50">
        <v>0</v>
      </c>
      <c r="H11" s="46">
        <f>IF(AND('SA Apr 2020'!R5&gt;0,'SA Apr 2020'!T5&gt;0),IF(($C$5&lt;'SA Apr 2020'!T5),(0),($C$5-'SA Apr 2020'!T5)*'SA Apr 2020'!U5/100),IF(AND('SA Apr 2020'!R5&gt;0,'SA Apr 2020'!T5=""),IF(($C$5&lt;'SA Apr 2020'!R5+'SA Apr 2020'!P5),(0),(($C$5-('SA Apr 2020'!R5+'SA Apr 2020'!P5))*'SA Apr 2020'!S5/100)),IF(AND('SA Apr 2020'!P5&gt;0,'SA Apr 2020'!R5=""&gt;0),IF(($C$5&lt;'SA Apr 2020'!P5),(0),($C$5-'SA Apr 2020'!P5)*'SA Apr 2020'!Q5/100),0)))</f>
        <v>0</v>
      </c>
      <c r="I11" s="52">
        <f t="shared" si="2"/>
        <v>1774.7811818181822</v>
      </c>
      <c r="J11" s="109">
        <f t="shared" si="3"/>
        <v>6750.9090909090919</v>
      </c>
      <c r="K11" s="109">
        <f t="shared" si="0"/>
        <v>7099.1247272727287</v>
      </c>
      <c r="L11" s="53">
        <f t="shared" si="4"/>
        <v>7809.0372000000025</v>
      </c>
      <c r="M11" s="54">
        <f>'SA Apr 2020'!BB5</f>
        <v>0</v>
      </c>
      <c r="N11" s="54">
        <f>'SA Apr 2020'!BC5</f>
        <v>0</v>
      </c>
      <c r="O11" s="54">
        <f>'SA Apr 2020'!BD5</f>
        <v>0</v>
      </c>
      <c r="P11" s="54">
        <f>'SA Apr 2020'!BE5</f>
        <v>0</v>
      </c>
      <c r="Q11" s="110" t="str">
        <f t="shared" si="5"/>
        <v>No discount</v>
      </c>
      <c r="R11" s="73" t="str">
        <f t="shared" si="1"/>
        <v>Exclusive</v>
      </c>
      <c r="S11" s="111">
        <f t="shared" si="7"/>
        <v>7099.1247272727287</v>
      </c>
      <c r="T11" s="112">
        <f t="shared" si="8"/>
        <v>7099.1247272727287</v>
      </c>
      <c r="U11" s="97">
        <f t="shared" si="6"/>
        <v>7809.0372000000025</v>
      </c>
      <c r="V11" s="98">
        <f t="shared" si="6"/>
        <v>7809.0372000000025</v>
      </c>
      <c r="W11" s="55">
        <f>'SA Apr 2020'!BL5</f>
        <v>0</v>
      </c>
      <c r="X11" s="56" t="str">
        <f>'SA Apr 2020'!BM5</f>
        <v>n</v>
      </c>
    </row>
    <row r="12" spans="1:53" x14ac:dyDescent="0.15">
      <c r="A12" s="70" t="str">
        <f>'SA Apr 2020'!K6</f>
        <v>Diamond Energy</v>
      </c>
      <c r="B12" s="49" t="str">
        <f>'SA Apr 2020'!L6</f>
        <v>Renewable Saver POT</v>
      </c>
      <c r="C12" s="46">
        <f>IF('SA Apr 2020'!BP6=0,91*'SA Apr 2020'!M6/100,(91*'SA Apr 2020'!M6/100)+'SA Apr 2020'!BP6/4)</f>
        <v>90.545000000000002</v>
      </c>
      <c r="D12" s="46">
        <f>IF('SA Apr 2020'!O6="",$C$5*'SA Apr 2020'!N6/100,IF($C$5&gt;='SA Apr 2020'!P6,('SA Apr 2020'!P6*'SA Apr 2020'!N6/100),($C$5*'SA Apr 2020'!N6/100)))</f>
        <v>375.54545454545456</v>
      </c>
      <c r="E12" s="46">
        <f>IF(AND('SA Apr 2020'!P6&gt;0,'SA Apr 2020'!R6&gt;0),IF($C$5&lt;'SA Apr 2020'!P6,0,IF($C$5&lt;=('SA Apr 2020'!R6+'SA Apr 2020'!P6),(($C$5-'SA Apr 2020'!P6)*'SA Apr 2020'!Q6/100),(('SA Apr 2020'!R6)*'SA Apr 2020'!Q6/100))),0)</f>
        <v>0</v>
      </c>
      <c r="F12" s="46">
        <f>IF(AND('SA Apr 2020'!Q6&gt;0,'SA Apr 2020'!S6&gt;0),IF($C$5&lt;('SA Apr 2020'!R6+'SA Apr 2020'!P6),0,IF($C$5&lt;=('SA Apr 2020'!T6+'SA Apr 2020'!R6+'SA Apr 2020'!P6),(($C$5-('SA Apr 2020'!R6+'SA Apr 2020'!P6))*'SA Apr 2020'!S6/100),('SA Apr 2020'!T6*'SA Apr 2020'!S6/100))),0)</f>
        <v>0</v>
      </c>
      <c r="G12" s="50">
        <v>0</v>
      </c>
      <c r="H12" s="46">
        <f>IF(AND('SA Apr 2020'!R6&gt;0,'SA Apr 2020'!T6&gt;0),IF(($C$5&lt;'SA Apr 2020'!T6),(0),($C$5-'SA Apr 2020'!T6)*'SA Apr 2020'!U6/100),IF(AND('SA Apr 2020'!R6&gt;0,'SA Apr 2020'!T6=""),IF(($C$5&lt;'SA Apr 2020'!R6+'SA Apr 2020'!P6),(0),(($C$5-('SA Apr 2020'!R6+'SA Apr 2020'!P6))*'SA Apr 2020'!S6/100)),IF(AND('SA Apr 2020'!P6&gt;0,'SA Apr 2020'!R6=""&gt;0),IF(($C$5&lt;'SA Apr 2020'!P6),(0),($C$5-'SA Apr 2020'!P6)*'SA Apr 2020'!Q6/100),0)))</f>
        <v>1598.1818181818182</v>
      </c>
      <c r="I12" s="52">
        <f t="shared" si="2"/>
        <v>2064.272272727273</v>
      </c>
      <c r="J12" s="109">
        <f t="shared" si="3"/>
        <v>7894.9090909090919</v>
      </c>
      <c r="K12" s="109">
        <f t="shared" si="0"/>
        <v>8257.0890909090922</v>
      </c>
      <c r="L12" s="53">
        <f t="shared" si="4"/>
        <v>9082.7980000000025</v>
      </c>
      <c r="M12" s="54">
        <f>'SA Apr 2020'!BB6</f>
        <v>0</v>
      </c>
      <c r="N12" s="54">
        <f>'SA Apr 2020'!BC6</f>
        <v>0</v>
      </c>
      <c r="O12" s="54">
        <f>'SA Apr 2020'!BD6</f>
        <v>7</v>
      </c>
      <c r="P12" s="54">
        <f>'SA Apr 2020'!BE6</f>
        <v>0</v>
      </c>
      <c r="Q12" s="110" t="str">
        <f t="shared" si="5"/>
        <v>Pay-on-time off bill</v>
      </c>
      <c r="R12" s="73" t="str">
        <f t="shared" si="1"/>
        <v>Exclusive</v>
      </c>
      <c r="S12" s="111">
        <f t="shared" si="7"/>
        <v>8257.0890909090922</v>
      </c>
      <c r="T12" s="112">
        <f t="shared" si="8"/>
        <v>7679.0928545454553</v>
      </c>
      <c r="U12" s="97">
        <f t="shared" si="6"/>
        <v>9082.7980000000025</v>
      </c>
      <c r="V12" s="98">
        <f t="shared" si="6"/>
        <v>8447.0021400000023</v>
      </c>
      <c r="W12" s="55">
        <f>'SA Apr 2020'!BL6</f>
        <v>0</v>
      </c>
      <c r="X12" s="56" t="str">
        <f>'SA Apr 2020'!BM6</f>
        <v>n</v>
      </c>
    </row>
    <row r="13" spans="1:53" x14ac:dyDescent="0.15">
      <c r="A13" s="70" t="str">
        <f>'SA Apr 2020'!K7</f>
        <v>EnergyAustralia</v>
      </c>
      <c r="B13" s="49" t="str">
        <f>'SA Apr 2020'!L7</f>
        <v>Total Plan</v>
      </c>
      <c r="C13" s="46">
        <f>IF('SA Apr 2020'!BP7=0,91*'SA Apr 2020'!M7/100,(91*'SA Apr 2020'!M7/100)+'SA Apr 2020'!BP7/4)</f>
        <v>89.179999999999978</v>
      </c>
      <c r="D13" s="46">
        <f>IF('SA Apr 2020'!O7="",$C$5*'SA Apr 2020'!N7/100,IF($C$5&gt;='SA Apr 2020'!P7,('SA Apr 2020'!P7*'SA Apr 2020'!N7/100),($C$5*'SA Apr 2020'!N7/100)))</f>
        <v>1983.1818181818182</v>
      </c>
      <c r="E13" s="46">
        <f>IF(AND('SA Apr 2020'!P7&gt;0,'SA Apr 2020'!R7&gt;0),IF($C$5&lt;'SA Apr 2020'!P7,0,IF($C$5&lt;=('SA Apr 2020'!R7+'SA Apr 2020'!P7),(($C$5-'SA Apr 2020'!P7)*'SA Apr 2020'!Q7/100),(('SA Apr 2020'!R7)*'SA Apr 2020'!Q7/100))),0)</f>
        <v>0</v>
      </c>
      <c r="F13" s="46">
        <f>IF(AND('SA Apr 2020'!Q7&gt;0,'SA Apr 2020'!S7&gt;0),IF($C$5&lt;('SA Apr 2020'!R7+'SA Apr 2020'!P7),0,IF($C$5&lt;=('SA Apr 2020'!T7+'SA Apr 2020'!R7+'SA Apr 2020'!P7),(($C$5-('SA Apr 2020'!R7+'SA Apr 2020'!P7))*'SA Apr 2020'!S7/100),('SA Apr 2020'!T7*'SA Apr 2020'!S7/100))),0)</f>
        <v>0</v>
      </c>
      <c r="G13" s="50">
        <v>0</v>
      </c>
      <c r="H13" s="46">
        <f>IF(AND('SA Apr 2020'!R7&gt;0,'SA Apr 2020'!T7&gt;0),IF(($C$5&lt;'SA Apr 2020'!T7),(0),($C$5-'SA Apr 2020'!T7)*'SA Apr 2020'!U7/100),IF(AND('SA Apr 2020'!R7&gt;0,'SA Apr 2020'!T7=""),IF(($C$5&lt;'SA Apr 2020'!R7+'SA Apr 2020'!P7),(0),(($C$5-('SA Apr 2020'!R7+'SA Apr 2020'!P7))*'SA Apr 2020'!S7/100)),IF(AND('SA Apr 2020'!P7&gt;0,'SA Apr 2020'!R7=""&gt;0),IF(($C$5&lt;'SA Apr 2020'!P7),(0),($C$5-'SA Apr 2020'!P7)*'SA Apr 2020'!Q7/100),0)))</f>
        <v>0</v>
      </c>
      <c r="I13" s="52">
        <f t="shared" si="2"/>
        <v>2072.3618181818183</v>
      </c>
      <c r="J13" s="109">
        <f t="shared" si="3"/>
        <v>7932.727272727273</v>
      </c>
      <c r="K13" s="109">
        <f t="shared" si="0"/>
        <v>8289.4472727272732</v>
      </c>
      <c r="L13" s="53">
        <f t="shared" si="4"/>
        <v>9118.3920000000016</v>
      </c>
      <c r="M13" s="54">
        <f>'SA Apr 2020'!BB7</f>
        <v>5</v>
      </c>
      <c r="N13" s="54">
        <f>'SA Apr 2020'!BC7</f>
        <v>0</v>
      </c>
      <c r="O13" s="54">
        <f>'SA Apr 2020'!BD7</f>
        <v>0</v>
      </c>
      <c r="P13" s="54">
        <f>'SA Apr 2020'!BE7</f>
        <v>0</v>
      </c>
      <c r="Q13" s="110" t="str">
        <f t="shared" si="5"/>
        <v>Guaranteed off bill</v>
      </c>
      <c r="R13" s="73" t="str">
        <f t="shared" si="1"/>
        <v>Exclusive</v>
      </c>
      <c r="S13" s="111">
        <f t="shared" si="7"/>
        <v>7874.9749090909099</v>
      </c>
      <c r="T13" s="112">
        <f t="shared" si="8"/>
        <v>7874.9749090909099</v>
      </c>
      <c r="U13" s="97">
        <f t="shared" si="6"/>
        <v>8662.4724000000024</v>
      </c>
      <c r="V13" s="98">
        <f t="shared" si="6"/>
        <v>8662.4724000000024</v>
      </c>
      <c r="W13" s="55">
        <f>'SA Apr 2020'!BL7</f>
        <v>0</v>
      </c>
      <c r="X13" s="56" t="str">
        <f>'SA Apr 2020'!BM7</f>
        <v>n</v>
      </c>
      <c r="Y13" s="289"/>
      <c r="Z13" s="289"/>
      <c r="AA13" s="289"/>
      <c r="AB13" s="289"/>
      <c r="AC13" s="289"/>
      <c r="AD13" s="289"/>
      <c r="AE13" s="289"/>
      <c r="AF13" s="289"/>
      <c r="AG13" s="289"/>
      <c r="AH13" s="289"/>
      <c r="AI13" s="289"/>
      <c r="AJ13" s="289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  <c r="BA13" s="289"/>
    </row>
    <row r="14" spans="1:53" x14ac:dyDescent="0.15">
      <c r="A14" s="70" t="str">
        <f>'SA Apr 2020'!K8</f>
        <v>Lumo Energy</v>
      </c>
      <c r="B14" s="49" t="str">
        <f>'SA Apr 2020'!L8</f>
        <v>Basic</v>
      </c>
      <c r="C14" s="46">
        <f>IF('SA Apr 2020'!BP8=0,91*'SA Apr 2020'!M8/100,(91*'SA Apr 2020'!M8/100)+'SA Apr 2020'!BP8/4)</f>
        <v>78.276545454545442</v>
      </c>
      <c r="D14" s="46">
        <f>IF('SA Apr 2020'!O8="",$C$5*'SA Apr 2020'!N8/100,IF($C$5&gt;='SA Apr 2020'!P8,('SA Apr 2020'!P8*'SA Apr 2020'!N8/100),($C$5*'SA Apr 2020'!N8/100)))</f>
        <v>1694.5454545454545</v>
      </c>
      <c r="E14" s="46">
        <f>IF(AND('SA Apr 2020'!P8&gt;0,'SA Apr 2020'!R8&gt;0),IF($C$5&lt;'SA Apr 2020'!P8,0,IF($C$5&lt;=('SA Apr 2020'!R8+'SA Apr 2020'!P8),(($C$5-'SA Apr 2020'!P8)*'SA Apr 2020'!Q8/100),(('SA Apr 2020'!R8)*'SA Apr 2020'!Q8/100))),0)</f>
        <v>0</v>
      </c>
      <c r="F14" s="46">
        <f>IF(AND('SA Apr 2020'!Q8&gt;0,'SA Apr 2020'!S8&gt;0),IF($C$5&lt;('SA Apr 2020'!R8+'SA Apr 2020'!P8),0,IF($C$5&lt;=('SA Apr 2020'!T8+'SA Apr 2020'!R8+'SA Apr 2020'!P8),(($C$5-('SA Apr 2020'!R8+'SA Apr 2020'!P8))*'SA Apr 2020'!S8/100),('SA Apr 2020'!T8*'SA Apr 2020'!S8/100))),0)</f>
        <v>0</v>
      </c>
      <c r="G14" s="50">
        <v>1</v>
      </c>
      <c r="H14" s="46">
        <f>IF(AND('SA Apr 2020'!R8&gt;0,'SA Apr 2020'!T8&gt;0),IF(($C$5&lt;'SA Apr 2020'!T8),(0),($C$5-'SA Apr 2020'!T8)*'SA Apr 2020'!U8/100),IF(AND('SA Apr 2020'!R8&gt;0,'SA Apr 2020'!T8=""),IF(($C$5&lt;'SA Apr 2020'!R8+'SA Apr 2020'!P8),(0),(($C$5-('SA Apr 2020'!R8+'SA Apr 2020'!P8))*'SA Apr 2020'!S8/100)),IF(AND('SA Apr 2020'!P8&gt;0,'SA Apr 2020'!R8=""&gt;0),IF(($C$5&lt;'SA Apr 2020'!P8),(0),($C$5-'SA Apr 2020'!P8)*'SA Apr 2020'!Q8/100),0)))</f>
        <v>0</v>
      </c>
      <c r="I14" s="52">
        <f t="shared" ref="I14" si="9">SUM(C14:H14)</f>
        <v>1773.8219999999999</v>
      </c>
      <c r="J14" s="109">
        <f t="shared" ref="J14" si="10">(I14-C14)*4</f>
        <v>6782.181818181818</v>
      </c>
      <c r="K14" s="109">
        <f t="shared" ref="K14" si="11">I14*4</f>
        <v>7095.2879999999996</v>
      </c>
      <c r="L14" s="53">
        <f t="shared" ref="L14" si="12">K14*1.1</f>
        <v>7804.8168000000005</v>
      </c>
      <c r="M14" s="54">
        <f>'SA Apr 2020'!BB8</f>
        <v>0</v>
      </c>
      <c r="N14" s="54">
        <f>'SA Apr 2020'!BC8</f>
        <v>0</v>
      </c>
      <c r="O14" s="54">
        <f>'SA Apr 2020'!BD8</f>
        <v>0</v>
      </c>
      <c r="P14" s="54">
        <f>'SA Apr 2020'!BE8</f>
        <v>0</v>
      </c>
      <c r="Q14" s="110" t="str">
        <f t="shared" ref="Q14" si="13">IF(SUM(M14:P14)=0,"No discount",IF(M14&gt;0,"Guaranteed off bill",IF(N14&gt;0,"Guaranteed off usage",IF(O14&gt;0,"Pay-on-time off bill","Pay-on-time off usage"))))</f>
        <v>No discount</v>
      </c>
      <c r="R14" s="73" t="str">
        <f t="shared" ref="R14" si="14">IF(OR(A14="Origin Energy",A14="Red Energy",A14="Powershop"),"Inclusive","Exclusive")</f>
        <v>Exclusive</v>
      </c>
      <c r="S14" s="111">
        <f t="shared" ref="S14" si="15">IF(AND(Q14="Guaranteed off bill",R14="Inclusive"),((K14*1.1)-((K14*1.1)*M14/100))/1.1,IF(AND(Q14="Guaranteed off usage",R14="Inclusive"),((K14*1.1)-((J14*1.1)*N14/100))/1.1,IF(AND(Q14="Guaranteed off bill",R14="Exclusive"),K14-(K14*M14/100),IF(AND(Q14="Guaranteed off usage",R14="Exclusive"),K14-(J14*N14/100),IF(R14="Inclusive",((K14*1.1))/1.1,K14)))))</f>
        <v>7095.2879999999996</v>
      </c>
      <c r="T14" s="112">
        <f t="shared" ref="T14" si="16">IF(AND(Q14="Pay-on-time off bill",R14="Inclusive"),((S14*1.1)-((S14*1.1)*O14/100))/1.1,IF(AND(Q14="Pay-on-time off usage",R14="Inclusive"),((S14*1.1)-((J14*1.1)*P14/100))/1.1,IF(AND(Q14="Pay-on-time off bill",R14="Exclusive"),S14-(S14*O14/100),IF(AND(Q14="Pay-on-time off usage",R14="Exclusive"),S14-(J14*P14/100),IF(R14="Inclusive",((S14*1.1))/1.1,S14)))))</f>
        <v>7095.2879999999996</v>
      </c>
      <c r="U14" s="97">
        <f t="shared" ref="U14" si="17">S14*1.1</f>
        <v>7804.8168000000005</v>
      </c>
      <c r="V14" s="98">
        <f t="shared" ref="V14" si="18">T14*1.1</f>
        <v>7804.8168000000005</v>
      </c>
      <c r="W14" s="55">
        <f>'SA Apr 2020'!BL8</f>
        <v>0</v>
      </c>
      <c r="X14" s="56" t="str">
        <f>'SA Apr 2020'!BM8</f>
        <v>n</v>
      </c>
    </row>
    <row r="15" spans="1:53" x14ac:dyDescent="0.15">
      <c r="A15" s="70" t="str">
        <f>'SA Apr 2020'!K9</f>
        <v>Momentum Energy</v>
      </c>
      <c r="B15" s="49" t="str">
        <f>'SA Apr 2020'!L9</f>
        <v>SmilePower Flexi</v>
      </c>
      <c r="C15" s="46">
        <f>IF('SA Apr 2020'!BP9=0,91*'SA Apr 2020'!M9/100,(91*'SA Apr 2020'!M9/100)+'SA Apr 2020'!BP9/4)</f>
        <v>87.252454545454555</v>
      </c>
      <c r="D15" s="46">
        <f>IF('SA Apr 2020'!O9="",$C$5*'SA Apr 2020'!N9/100,IF($C$5&gt;='SA Apr 2020'!P9,('SA Apr 2020'!P9*'SA Apr 2020'!N9/100),($C$5*'SA Apr 2020'!N9/100)))</f>
        <v>1600.909090909091</v>
      </c>
      <c r="E15" s="46">
        <f>IF(AND('SA Apr 2020'!P9&gt;0,'SA Apr 2020'!R9&gt;0),IF($C$5&lt;'SA Apr 2020'!P9,0,IF($C$5&lt;=('SA Apr 2020'!R9+'SA Apr 2020'!P9),(($C$5-'SA Apr 2020'!P9)*'SA Apr 2020'!Q9/100),(('SA Apr 2020'!R9)*'SA Apr 2020'!Q9/100))),0)</f>
        <v>0</v>
      </c>
      <c r="F15" s="46">
        <f>IF(AND('SA Apr 2020'!Q9&gt;0,'SA Apr 2020'!S9&gt;0),IF($C$5&lt;('SA Apr 2020'!R9+'SA Apr 2020'!P9),0,IF($C$5&lt;=('SA Apr 2020'!T9+'SA Apr 2020'!R9+'SA Apr 2020'!P9),(($C$5-('SA Apr 2020'!R9+'SA Apr 2020'!P9))*'SA Apr 2020'!S9/100),('SA Apr 2020'!T9*'SA Apr 2020'!S9/100))),0)</f>
        <v>0</v>
      </c>
      <c r="G15" s="50">
        <v>0</v>
      </c>
      <c r="H15" s="46">
        <f>IF(AND('SA Apr 2020'!R9&gt;0,'SA Apr 2020'!T9&gt;0),IF(($C$5&lt;'SA Apr 2020'!T9),(0),($C$5-'SA Apr 2020'!T9)*'SA Apr 2020'!U9/100),IF(AND('SA Apr 2020'!R9&gt;0,'SA Apr 2020'!T9=""),IF(($C$5&lt;'SA Apr 2020'!R9+'SA Apr 2020'!P9),(0),(($C$5-('SA Apr 2020'!R9+'SA Apr 2020'!P9))*'SA Apr 2020'!S9/100)),IF(AND('SA Apr 2020'!P9&gt;0,'SA Apr 2020'!R9=""&gt;0),IF(($C$5&lt;'SA Apr 2020'!P9),(0),($C$5-'SA Apr 2020'!P9)*'SA Apr 2020'!Q9/100),0)))</f>
        <v>0</v>
      </c>
      <c r="I15" s="52">
        <f t="shared" ref="I15:I24" si="19">SUM(C15:H15)</f>
        <v>1688.1615454545456</v>
      </c>
      <c r="J15" s="109">
        <f t="shared" ref="J15:J24" si="20">(I15-C15)*4</f>
        <v>6403.636363636364</v>
      </c>
      <c r="K15" s="109">
        <f t="shared" ref="K15:K24" si="21">I15*4</f>
        <v>6752.6461818181824</v>
      </c>
      <c r="L15" s="53">
        <f t="shared" ref="L15:L24" si="22">K15*1.1</f>
        <v>7427.9108000000015</v>
      </c>
      <c r="M15" s="54">
        <f>'SA Apr 2020'!BB9</f>
        <v>0</v>
      </c>
      <c r="N15" s="54">
        <f>'SA Apr 2020'!BC9</f>
        <v>0</v>
      </c>
      <c r="O15" s="54">
        <f>'SA Apr 2020'!BD9</f>
        <v>0</v>
      </c>
      <c r="P15" s="54">
        <f>'SA Apr 2020'!BE9</f>
        <v>0</v>
      </c>
      <c r="Q15" s="110" t="str">
        <f t="shared" ref="Q15:Q24" si="23">IF(SUM(M15:P15)=0,"No discount",IF(M15&gt;0,"Guaranteed off bill",IF(N15&gt;0,"Guaranteed off usage",IF(O15&gt;0,"Pay-on-time off bill","Pay-on-time off usage"))))</f>
        <v>No discount</v>
      </c>
      <c r="R15" s="73" t="str">
        <f t="shared" ref="R15:R24" si="24">IF(OR(A15="Origin Energy",A15="Red Energy",A15="Powershop"),"Inclusive","Exclusive")</f>
        <v>Exclusive</v>
      </c>
      <c r="S15" s="111">
        <f t="shared" ref="S15:S24" si="25">IF(AND(Q15="Guaranteed off bill",R15="Inclusive"),((K15*1.1)-((K15*1.1)*M15/100))/1.1,IF(AND(Q15="Guaranteed off usage",R15="Inclusive"),((K15*1.1)-((J15*1.1)*N15/100))/1.1,IF(AND(Q15="Guaranteed off bill",R15="Exclusive"),K15-(K15*M15/100),IF(AND(Q15="Guaranteed off usage",R15="Exclusive"),K15-(J15*N15/100),IF(R15="Inclusive",((K15*1.1))/1.1,K15)))))</f>
        <v>6752.6461818181824</v>
      </c>
      <c r="T15" s="112">
        <f t="shared" ref="T15:T24" si="26">IF(AND(Q15="Pay-on-time off bill",R15="Inclusive"),((S15*1.1)-((S15*1.1)*O15/100))/1.1,IF(AND(Q15="Pay-on-time off usage",R15="Inclusive"),((S15*1.1)-((J15*1.1)*P15/100))/1.1,IF(AND(Q15="Pay-on-time off bill",R15="Exclusive"),S15-(S15*O15/100),IF(AND(Q15="Pay-on-time off usage",R15="Exclusive"),S15-(J15*P15/100),IF(R15="Inclusive",((S15*1.1))/1.1,S15)))))</f>
        <v>6752.6461818181824</v>
      </c>
      <c r="U15" s="97">
        <f t="shared" ref="U15:U24" si="27">S15*1.1</f>
        <v>7427.9108000000015</v>
      </c>
      <c r="V15" s="98">
        <f t="shared" ref="V15:V24" si="28">T15*1.1</f>
        <v>7427.9108000000015</v>
      </c>
      <c r="W15" s="55">
        <f>'SA Apr 2020'!BL9</f>
        <v>0</v>
      </c>
      <c r="X15" s="56" t="str">
        <f>'SA Apr 2020'!BM9</f>
        <v>n</v>
      </c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89"/>
    </row>
    <row r="16" spans="1:53" x14ac:dyDescent="0.15">
      <c r="A16" s="70" t="str">
        <f>'SA Apr 2020'!K10</f>
        <v>Origin Energy</v>
      </c>
      <c r="B16" s="49" t="str">
        <f>'SA Apr 2020'!L10</f>
        <v xml:space="preserve">Flexi </v>
      </c>
      <c r="C16" s="46">
        <f>IF('SA Apr 2020'!BP10=0,91*'SA Apr 2020'!M10/100,(91*'SA Apr 2020'!M10/100)+'SA Apr 2020'!BP10/4)</f>
        <v>81.999272727272725</v>
      </c>
      <c r="D16" s="46">
        <f>IF('SA Apr 2020'!O10="",$C$5*'SA Apr 2020'!N10/100,IF($C$5&gt;='SA Apr 2020'!P10,('SA Apr 2020'!P10*'SA Apr 2020'!N10/100),($C$5*'SA Apr 2020'!N10/100)))</f>
        <v>1990.4545454545453</v>
      </c>
      <c r="E16" s="46">
        <f>IF(AND('SA Apr 2020'!P10&gt;0,'SA Apr 2020'!R10&gt;0),IF($C$5&lt;'SA Apr 2020'!P10,0,IF($C$5&lt;=('SA Apr 2020'!R10+'SA Apr 2020'!P10),(($C$5-'SA Apr 2020'!P10)*'SA Apr 2020'!Q10/100),(('SA Apr 2020'!R10)*'SA Apr 2020'!Q10/100))),0)</f>
        <v>0</v>
      </c>
      <c r="F16" s="46">
        <f>IF(AND('SA Apr 2020'!Q10&gt;0,'SA Apr 2020'!S10&gt;0),IF($C$5&lt;('SA Apr 2020'!R10+'SA Apr 2020'!P10),0,IF($C$5&lt;=('SA Apr 2020'!T10+'SA Apr 2020'!R10+'SA Apr 2020'!P10),(($C$5-('SA Apr 2020'!R10+'SA Apr 2020'!P10))*'SA Apr 2020'!S10/100),('SA Apr 2020'!T10*'SA Apr 2020'!S10/100))),0)</f>
        <v>0</v>
      </c>
      <c r="G16" s="50">
        <v>0</v>
      </c>
      <c r="H16" s="46">
        <f>IF(AND('SA Apr 2020'!R10&gt;0,'SA Apr 2020'!T10&gt;0),IF(($C$5&lt;'SA Apr 2020'!T10),(0),($C$5-'SA Apr 2020'!T10)*'SA Apr 2020'!U10/100),IF(AND('SA Apr 2020'!R10&gt;0,'SA Apr 2020'!T10=""),IF(($C$5&lt;'SA Apr 2020'!R10+'SA Apr 2020'!P10),(0),(($C$5-('SA Apr 2020'!R10+'SA Apr 2020'!P10))*'SA Apr 2020'!S10/100)),IF(AND('SA Apr 2020'!P10&gt;0,'SA Apr 2020'!R10=""&gt;0),IF(($C$5&lt;'SA Apr 2020'!P10),(0),($C$5-'SA Apr 2020'!P10)*'SA Apr 2020'!Q10/100),0)))</f>
        <v>0</v>
      </c>
      <c r="I16" s="52">
        <f t="shared" si="19"/>
        <v>2072.453818181818</v>
      </c>
      <c r="J16" s="109">
        <f t="shared" si="20"/>
        <v>7961.8181818181811</v>
      </c>
      <c r="K16" s="109">
        <f t="shared" si="21"/>
        <v>8289.8152727272718</v>
      </c>
      <c r="L16" s="53">
        <f t="shared" si="22"/>
        <v>9118.7968000000001</v>
      </c>
      <c r="M16" s="54">
        <f>'SA Apr 2020'!BB10</f>
        <v>14</v>
      </c>
      <c r="N16" s="54">
        <f>'SA Apr 2020'!BC10</f>
        <v>0</v>
      </c>
      <c r="O16" s="54">
        <f>'SA Apr 2020'!BD10</f>
        <v>0</v>
      </c>
      <c r="P16" s="54">
        <f>'SA Apr 2020'!BE10</f>
        <v>0</v>
      </c>
      <c r="Q16" s="110" t="str">
        <f t="shared" si="23"/>
        <v>Guaranteed off bill</v>
      </c>
      <c r="R16" s="73" t="str">
        <f t="shared" si="24"/>
        <v>Inclusive</v>
      </c>
      <c r="S16" s="111">
        <f t="shared" si="25"/>
        <v>7129.2411345454539</v>
      </c>
      <c r="T16" s="112">
        <f t="shared" si="26"/>
        <v>7129.2411345454539</v>
      </c>
      <c r="U16" s="97">
        <f t="shared" si="27"/>
        <v>7842.1652480000002</v>
      </c>
      <c r="V16" s="98">
        <f t="shared" si="28"/>
        <v>7842.1652480000002</v>
      </c>
      <c r="W16" s="55">
        <f>'SA Apr 2020'!BL10</f>
        <v>12</v>
      </c>
      <c r="X16" s="56" t="str">
        <f>'SA Apr 2020'!BM10</f>
        <v>y</v>
      </c>
    </row>
    <row r="17" spans="1:53" x14ac:dyDescent="0.15">
      <c r="A17" s="70" t="str">
        <f>'SA Apr 2020'!K11</f>
        <v>Powerdirect</v>
      </c>
      <c r="B17" s="49" t="str">
        <f>'SA Apr 2020'!L11</f>
        <v>Discount Saver</v>
      </c>
      <c r="C17" s="46">
        <f>IF('SA Apr 2020'!BP11=0,91*'SA Apr 2020'!M11/100,(91*'SA Apr 2020'!M11/100)+'SA Apr 2020'!BP11/4)</f>
        <v>80.989999999999995</v>
      </c>
      <c r="D17" s="46">
        <f>IF('SA Apr 2020'!O11="",$C$5*'SA Apr 2020'!N11/100,IF($C$5&gt;='SA Apr 2020'!P11,('SA Apr 2020'!P11*'SA Apr 2020'!N11/100),($C$5*'SA Apr 2020'!N11/100)))</f>
        <v>1990.9090909090905</v>
      </c>
      <c r="E17" s="46">
        <f>IF(AND('SA Apr 2020'!P11&gt;0,'SA Apr 2020'!R11&gt;0),IF($C$5&lt;'SA Apr 2020'!P11,0,IF($C$5&lt;=('SA Apr 2020'!R11+'SA Apr 2020'!P11),(($C$5-'SA Apr 2020'!P11)*'SA Apr 2020'!Q11/100),(('SA Apr 2020'!R11)*'SA Apr 2020'!Q11/100))),0)</f>
        <v>0</v>
      </c>
      <c r="F17" s="46">
        <f>IF(AND('SA Apr 2020'!Q11&gt;0,'SA Apr 2020'!S11&gt;0),IF($C$5&lt;('SA Apr 2020'!R11+'SA Apr 2020'!P11),0,IF($C$5&lt;=('SA Apr 2020'!T11+'SA Apr 2020'!R11+'SA Apr 2020'!P11),(($C$5-('SA Apr 2020'!R11+'SA Apr 2020'!P11))*'SA Apr 2020'!S11/100),('SA Apr 2020'!T11*'SA Apr 2020'!S11/100))),0)</f>
        <v>0</v>
      </c>
      <c r="G17" s="50">
        <v>0</v>
      </c>
      <c r="H17" s="46">
        <f>IF(AND('SA Apr 2020'!R11&gt;0,'SA Apr 2020'!T11&gt;0),IF(($C$5&lt;'SA Apr 2020'!T11),(0),($C$5-'SA Apr 2020'!T11)*'SA Apr 2020'!U11/100),IF(AND('SA Apr 2020'!R11&gt;0,'SA Apr 2020'!T11=""),IF(($C$5&lt;'SA Apr 2020'!R11+'SA Apr 2020'!P11),(0),(($C$5-('SA Apr 2020'!R11+'SA Apr 2020'!P11))*'SA Apr 2020'!S11/100)),IF(AND('SA Apr 2020'!P11&gt;0,'SA Apr 2020'!R11=""&gt;0),IF(($C$5&lt;'SA Apr 2020'!P11),(0),($C$5-'SA Apr 2020'!P11)*'SA Apr 2020'!Q11/100),0)))</f>
        <v>0</v>
      </c>
      <c r="I17" s="52">
        <f t="shared" si="19"/>
        <v>2071.8990909090903</v>
      </c>
      <c r="J17" s="109">
        <f t="shared" si="20"/>
        <v>7963.6363636363612</v>
      </c>
      <c r="K17" s="109">
        <f t="shared" si="21"/>
        <v>8287.5963636363613</v>
      </c>
      <c r="L17" s="53">
        <f t="shared" si="22"/>
        <v>9116.3559999999979</v>
      </c>
      <c r="M17" s="54">
        <f>'SA Apr 2020'!BB11</f>
        <v>15</v>
      </c>
      <c r="N17" s="54">
        <f>'SA Apr 2020'!BC11</f>
        <v>0</v>
      </c>
      <c r="O17" s="54">
        <f>'SA Apr 2020'!BD11</f>
        <v>0</v>
      </c>
      <c r="P17" s="54">
        <f>'SA Apr 2020'!BE11</f>
        <v>0</v>
      </c>
      <c r="Q17" s="110" t="str">
        <f t="shared" si="23"/>
        <v>Guaranteed off bill</v>
      </c>
      <c r="R17" s="73" t="str">
        <f t="shared" si="24"/>
        <v>Exclusive</v>
      </c>
      <c r="S17" s="111">
        <f t="shared" si="25"/>
        <v>7044.4569090909072</v>
      </c>
      <c r="T17" s="112">
        <f t="shared" si="26"/>
        <v>7044.4569090909072</v>
      </c>
      <c r="U17" s="97">
        <f t="shared" si="27"/>
        <v>7748.9025999999985</v>
      </c>
      <c r="V17" s="98">
        <f t="shared" si="28"/>
        <v>7748.9025999999985</v>
      </c>
      <c r="W17" s="55">
        <f>'SA Apr 2020'!BL11</f>
        <v>0</v>
      </c>
      <c r="X17" s="56" t="str">
        <f>'SA Apr 2020'!BM11</f>
        <v>n</v>
      </c>
    </row>
    <row r="18" spans="1:53" x14ac:dyDescent="0.15">
      <c r="A18" s="70" t="str">
        <f>'SA Apr 2020'!K12</f>
        <v>Red Energy</v>
      </c>
      <c r="B18" s="49" t="str">
        <f>'SA Apr 2020'!L12</f>
        <v>Red Business Saver</v>
      </c>
      <c r="C18" s="46">
        <f>IF('SA Apr 2020'!BP12=0,91*'SA Apr 2020'!M12/100,(91*'SA Apr 2020'!M12/100)+'SA Apr 2020'!BP12/4)</f>
        <v>79.260999999999996</v>
      </c>
      <c r="D18" s="46">
        <f>IF('SA Apr 2020'!O12="",$C$5*'SA Apr 2020'!N12/100,IF($C$5&gt;='SA Apr 2020'!P12,('SA Apr 2020'!P12*'SA Apr 2020'!N12/100),($C$5*'SA Apr 2020'!N12/100)))</f>
        <v>1754.9999999999998</v>
      </c>
      <c r="E18" s="46">
        <f>IF(AND('SA Apr 2020'!P12&gt;0,'SA Apr 2020'!R12&gt;0),IF($C$5&lt;'SA Apr 2020'!P12,0,IF($C$5&lt;=('SA Apr 2020'!R12+'SA Apr 2020'!P12),(($C$5-'SA Apr 2020'!P12)*'SA Apr 2020'!Q12/100),(('SA Apr 2020'!R12)*'SA Apr 2020'!Q12/100))),0)</f>
        <v>0</v>
      </c>
      <c r="F18" s="46">
        <f>IF(AND('SA Apr 2020'!Q12&gt;0,'SA Apr 2020'!S12&gt;0),IF($C$5&lt;('SA Apr 2020'!R12+'SA Apr 2020'!P12),0,IF($C$5&lt;=('SA Apr 2020'!T12+'SA Apr 2020'!R12+'SA Apr 2020'!P12),(($C$5-('SA Apr 2020'!R12+'SA Apr 2020'!P12))*'SA Apr 2020'!S12/100),('SA Apr 2020'!T12*'SA Apr 2020'!S12/100))),0)</f>
        <v>0</v>
      </c>
      <c r="G18" s="50">
        <v>0</v>
      </c>
      <c r="H18" s="46">
        <f>IF(AND('SA Apr 2020'!R12&gt;0,'SA Apr 2020'!T12&gt;0),IF(($C$5&lt;'SA Apr 2020'!T12),(0),($C$5-'SA Apr 2020'!T12)*'SA Apr 2020'!U12/100),IF(AND('SA Apr 2020'!R12&gt;0,'SA Apr 2020'!T12=""),IF(($C$5&lt;'SA Apr 2020'!R12+'SA Apr 2020'!P12),(0),(($C$5-('SA Apr 2020'!R12+'SA Apr 2020'!P12))*'SA Apr 2020'!S12/100)),IF(AND('SA Apr 2020'!P12&gt;0,'SA Apr 2020'!R12=""&gt;0),IF(($C$5&lt;'SA Apr 2020'!P12),(0),($C$5-'SA Apr 2020'!P12)*'SA Apr 2020'!Q12/100),0)))</f>
        <v>0</v>
      </c>
      <c r="I18" s="52">
        <f t="shared" si="19"/>
        <v>1834.2609999999997</v>
      </c>
      <c r="J18" s="109">
        <f t="shared" si="20"/>
        <v>7019.9999999999991</v>
      </c>
      <c r="K18" s="109">
        <f t="shared" si="21"/>
        <v>7337.043999999999</v>
      </c>
      <c r="L18" s="53">
        <f t="shared" si="22"/>
        <v>8070.7483999999995</v>
      </c>
      <c r="M18" s="54">
        <f>'SA Apr 2020'!BB12</f>
        <v>0</v>
      </c>
      <c r="N18" s="54">
        <f>'SA Apr 2020'!BC12</f>
        <v>0</v>
      </c>
      <c r="O18" s="54">
        <f>'SA Apr 2020'!BD12</f>
        <v>0</v>
      </c>
      <c r="P18" s="54">
        <f>'SA Apr 2020'!BE12</f>
        <v>0</v>
      </c>
      <c r="Q18" s="110" t="str">
        <f t="shared" si="23"/>
        <v>No discount</v>
      </c>
      <c r="R18" s="73" t="str">
        <f t="shared" si="24"/>
        <v>Inclusive</v>
      </c>
      <c r="S18" s="111">
        <f t="shared" si="25"/>
        <v>7337.043999999999</v>
      </c>
      <c r="T18" s="112">
        <f t="shared" si="26"/>
        <v>7337.043999999999</v>
      </c>
      <c r="U18" s="97">
        <f t="shared" si="27"/>
        <v>8070.7483999999995</v>
      </c>
      <c r="V18" s="98">
        <f t="shared" si="28"/>
        <v>8070.7483999999995</v>
      </c>
      <c r="W18" s="55">
        <f>'SA Apr 2020'!BL12</f>
        <v>0</v>
      </c>
      <c r="X18" s="56" t="str">
        <f>'SA Apr 2020'!BM12</f>
        <v>n</v>
      </c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</row>
    <row r="19" spans="1:53" x14ac:dyDescent="0.15">
      <c r="A19" s="70" t="str">
        <f>'SA Apr 2020'!K13</f>
        <v>Simply Energy</v>
      </c>
      <c r="B19" s="49" t="str">
        <f>'SA Apr 2020'!L13</f>
        <v>Business Plus</v>
      </c>
      <c r="C19" s="46">
        <f>IF('SA Apr 2020'!BP13=0,91*'SA Apr 2020'!M13/100,(91*'SA Apr 2020'!M13/100)+'SA Apr 2020'!BP13/4)</f>
        <v>78.605800000000002</v>
      </c>
      <c r="D19" s="46">
        <f>IF('SA Apr 2020'!O13="",$C$5*'SA Apr 2020'!N13/100,IF($C$5&gt;='SA Apr 2020'!P13,('SA Apr 2020'!P13*'SA Apr 2020'!N13/100),($C$5*'SA Apr 2020'!N13/100)))</f>
        <v>1754.9999999999998</v>
      </c>
      <c r="E19" s="46">
        <f>IF(AND('SA Apr 2020'!P13&gt;0,'SA Apr 2020'!R13&gt;0),IF($C$5&lt;'SA Apr 2020'!P13,0,IF($C$5&lt;=('SA Apr 2020'!R13+'SA Apr 2020'!P13),(($C$5-'SA Apr 2020'!P13)*'SA Apr 2020'!Q13/100),(('SA Apr 2020'!R13)*'SA Apr 2020'!Q13/100))),0)</f>
        <v>0</v>
      </c>
      <c r="F19" s="46">
        <f>IF(AND('SA Apr 2020'!Q13&gt;0,'SA Apr 2020'!S13&gt;0),IF($C$5&lt;('SA Apr 2020'!R13+'SA Apr 2020'!P13),0,IF($C$5&lt;=('SA Apr 2020'!T13+'SA Apr 2020'!R13+'SA Apr 2020'!P13),(($C$5-('SA Apr 2020'!R13+'SA Apr 2020'!P13))*'SA Apr 2020'!S13/100),('SA Apr 2020'!T13*'SA Apr 2020'!S13/100))),0)</f>
        <v>0</v>
      </c>
      <c r="G19" s="50">
        <v>0</v>
      </c>
      <c r="H19" s="46">
        <f>IF(AND('SA Apr 2020'!R13&gt;0,'SA Apr 2020'!T13&gt;0),IF(($C$5&lt;'SA Apr 2020'!T13),(0),($C$5-'SA Apr 2020'!T13)*'SA Apr 2020'!U13/100),IF(AND('SA Apr 2020'!R13&gt;0,'SA Apr 2020'!T13=""),IF(($C$5&lt;'SA Apr 2020'!R13+'SA Apr 2020'!P13),(0),(($C$5-('SA Apr 2020'!R13+'SA Apr 2020'!P13))*'SA Apr 2020'!S13/100)),IF(AND('SA Apr 2020'!P13&gt;0,'SA Apr 2020'!R13=""&gt;0),IF(($C$5&lt;'SA Apr 2020'!P13),(0),($C$5-'SA Apr 2020'!P13)*'SA Apr 2020'!Q13/100),0)))</f>
        <v>0</v>
      </c>
      <c r="I19" s="52">
        <f t="shared" si="19"/>
        <v>1833.6057999999998</v>
      </c>
      <c r="J19" s="109">
        <f t="shared" si="20"/>
        <v>7019.9999999999991</v>
      </c>
      <c r="K19" s="109">
        <f t="shared" si="21"/>
        <v>7334.4231999999993</v>
      </c>
      <c r="L19" s="53">
        <f t="shared" si="22"/>
        <v>8067.8655200000003</v>
      </c>
      <c r="M19" s="54">
        <f>'SA Apr 2020'!BB13</f>
        <v>0</v>
      </c>
      <c r="N19" s="54">
        <f>'SA Apr 2020'!BC13</f>
        <v>0</v>
      </c>
      <c r="O19" s="54">
        <f>'SA Apr 2020'!BD13</f>
        <v>0</v>
      </c>
      <c r="P19" s="54">
        <f>'SA Apr 2020'!BE13</f>
        <v>0</v>
      </c>
      <c r="Q19" s="110" t="str">
        <f t="shared" si="23"/>
        <v>No discount</v>
      </c>
      <c r="R19" s="73" t="str">
        <f t="shared" si="24"/>
        <v>Exclusive</v>
      </c>
      <c r="S19" s="111">
        <f t="shared" si="25"/>
        <v>7334.4231999999993</v>
      </c>
      <c r="T19" s="112">
        <f t="shared" si="26"/>
        <v>7334.4231999999993</v>
      </c>
      <c r="U19" s="97">
        <f t="shared" si="27"/>
        <v>8067.8655200000003</v>
      </c>
      <c r="V19" s="98">
        <f t="shared" si="28"/>
        <v>8067.8655200000003</v>
      </c>
      <c r="W19" s="55">
        <f>'SA Apr 2020'!BL13</f>
        <v>0</v>
      </c>
      <c r="X19" s="56" t="str">
        <f>'SA Apr 2020'!BM13</f>
        <v>n</v>
      </c>
    </row>
    <row r="20" spans="1:53" x14ac:dyDescent="0.15">
      <c r="A20" s="70" t="str">
        <f>'SA Apr 2020'!K14</f>
        <v>Blue NRG</v>
      </c>
      <c r="B20" s="49" t="str">
        <f>'SA Apr 2020'!L14</f>
        <v>Blue Essential</v>
      </c>
      <c r="C20" s="46">
        <f>IF('SA Apr 2020'!BP14=0,91*'SA Apr 2020'!M14/100,(91*'SA Apr 2020'!M14/100)+'SA Apr 2020'!BP14/4)</f>
        <v>109.30754545454545</v>
      </c>
      <c r="D20" s="46">
        <f>IF('SA Apr 2020'!O14="",$C$5*'SA Apr 2020'!N14/100,IF($C$5&gt;='SA Apr 2020'!P14,('SA Apr 2020'!P14*'SA Apr 2020'!N14/100),($C$5*'SA Apr 2020'!N14/100)))</f>
        <v>1839.5454545454545</v>
      </c>
      <c r="E20" s="46">
        <f>IF(AND('SA Apr 2020'!P14&gt;0,'SA Apr 2020'!R14&gt;0),IF($C$5&lt;'SA Apr 2020'!P14,0,IF($C$5&lt;=('SA Apr 2020'!R14+'SA Apr 2020'!P14),(($C$5-'SA Apr 2020'!P14)*'SA Apr 2020'!Q14/100),(('SA Apr 2020'!R14)*'SA Apr 2020'!Q14/100))),0)</f>
        <v>0</v>
      </c>
      <c r="F20" s="46">
        <f>IF(AND('SA Apr 2020'!Q14&gt;0,'SA Apr 2020'!S14&gt;0),IF($C$5&lt;('SA Apr 2020'!R14+'SA Apr 2020'!P14),0,IF($C$5&lt;=('SA Apr 2020'!T14+'SA Apr 2020'!R14+'SA Apr 2020'!P14),(($C$5-('SA Apr 2020'!R14+'SA Apr 2020'!P14))*'SA Apr 2020'!S14/100),('SA Apr 2020'!T14*'SA Apr 2020'!S14/100))),0)</f>
        <v>0</v>
      </c>
      <c r="G20" s="50">
        <v>0</v>
      </c>
      <c r="H20" s="46">
        <f>IF(AND('SA Apr 2020'!R14&gt;0,'SA Apr 2020'!T14&gt;0),IF(($C$5&lt;'SA Apr 2020'!T14),(0),($C$5-'SA Apr 2020'!T14)*'SA Apr 2020'!U14/100),IF(AND('SA Apr 2020'!R14&gt;0,'SA Apr 2020'!T14=""),IF(($C$5&lt;'SA Apr 2020'!R14+'SA Apr 2020'!P14),(0),(($C$5-('SA Apr 2020'!R14+'SA Apr 2020'!P14))*'SA Apr 2020'!S14/100)),IF(AND('SA Apr 2020'!P14&gt;0,'SA Apr 2020'!R14=""&gt;0),IF(($C$5&lt;'SA Apr 2020'!P14),(0),($C$5-'SA Apr 2020'!P14)*'SA Apr 2020'!Q14/100),0)))</f>
        <v>0</v>
      </c>
      <c r="I20" s="52">
        <f t="shared" si="19"/>
        <v>1948.8530000000001</v>
      </c>
      <c r="J20" s="109">
        <f t="shared" si="20"/>
        <v>7358.181818181818</v>
      </c>
      <c r="K20" s="109">
        <f t="shared" si="21"/>
        <v>7795.4120000000003</v>
      </c>
      <c r="L20" s="53">
        <f t="shared" si="22"/>
        <v>8574.9532000000017</v>
      </c>
      <c r="M20" s="54">
        <f>'SA Apr 2020'!BB14</f>
        <v>0</v>
      </c>
      <c r="N20" s="54">
        <f>'SA Apr 2020'!BC14</f>
        <v>0</v>
      </c>
      <c r="O20" s="54">
        <f>'SA Apr 2020'!BD14</f>
        <v>0</v>
      </c>
      <c r="P20" s="54">
        <f>'SA Apr 2020'!BE14</f>
        <v>0</v>
      </c>
      <c r="Q20" s="110" t="str">
        <f t="shared" si="23"/>
        <v>No discount</v>
      </c>
      <c r="R20" s="73" t="str">
        <f t="shared" si="24"/>
        <v>Exclusive</v>
      </c>
      <c r="S20" s="111">
        <f t="shared" si="25"/>
        <v>7795.4120000000003</v>
      </c>
      <c r="T20" s="112">
        <f t="shared" si="26"/>
        <v>7795.4120000000003</v>
      </c>
      <c r="U20" s="97">
        <f t="shared" si="27"/>
        <v>8574.9532000000017</v>
      </c>
      <c r="V20" s="98">
        <f t="shared" si="28"/>
        <v>8574.9532000000017</v>
      </c>
      <c r="W20" s="55">
        <f>'SA Apr 2020'!BL14</f>
        <v>0</v>
      </c>
      <c r="X20" s="56" t="str">
        <f>'SA Apr 2020'!BM14</f>
        <v>n</v>
      </c>
    </row>
    <row r="21" spans="1:53" x14ac:dyDescent="0.15">
      <c r="A21" s="70" t="str">
        <f>'SA Apr 2020'!K15</f>
        <v>Powershop</v>
      </c>
      <c r="B21" s="49" t="str">
        <f>'SA Apr 2020'!L15</f>
        <v>Shopper with Mega Pack</v>
      </c>
      <c r="C21" s="46">
        <f>IF('SA Apr 2020'!BP15=0,91*'SA Apr 2020'!M15/100,(91*'SA Apr 2020'!M15/100)+'SA Apr 2020'!BP15/4)</f>
        <v>100.71880000000002</v>
      </c>
      <c r="D21" s="46">
        <f>IF('SA Apr 2020'!O15="",$C$5*'SA Apr 2020'!N15/100,IF($C$5&gt;='SA Apr 2020'!P15,('SA Apr 2020'!P15*'SA Apr 2020'!N15/100),($C$5*'SA Apr 2020'!N15/100)))</f>
        <v>1854.5000000000002</v>
      </c>
      <c r="E21" s="46">
        <f>IF(AND('SA Apr 2020'!P15&gt;0,'SA Apr 2020'!R15&gt;0),IF($C$5&lt;'SA Apr 2020'!P15,0,IF($C$5&lt;=('SA Apr 2020'!R15+'SA Apr 2020'!P15),(($C$5-'SA Apr 2020'!P15)*'SA Apr 2020'!Q15/100),(('SA Apr 2020'!R15)*'SA Apr 2020'!Q15/100))),0)</f>
        <v>0</v>
      </c>
      <c r="F21" s="46">
        <f>IF(AND('SA Apr 2020'!Q15&gt;0,'SA Apr 2020'!S15&gt;0),IF($C$5&lt;('SA Apr 2020'!R15+'SA Apr 2020'!P15),0,IF($C$5&lt;=('SA Apr 2020'!T15+'SA Apr 2020'!R15+'SA Apr 2020'!P15),(($C$5-('SA Apr 2020'!R15+'SA Apr 2020'!P15))*'SA Apr 2020'!S15/100),('SA Apr 2020'!T15*'SA Apr 2020'!S15/100))),0)</f>
        <v>0</v>
      </c>
      <c r="G21" s="50">
        <v>0</v>
      </c>
      <c r="H21" s="46">
        <f>IF(AND('SA Apr 2020'!R15&gt;0,'SA Apr 2020'!T15&gt;0),IF(($C$5&lt;'SA Apr 2020'!T15),(0),($C$5-'SA Apr 2020'!T15)*'SA Apr 2020'!U15/100),IF(AND('SA Apr 2020'!R15&gt;0,'SA Apr 2020'!T15=""),IF(($C$5&lt;'SA Apr 2020'!R15+'SA Apr 2020'!P15),(0),(($C$5-('SA Apr 2020'!R15+'SA Apr 2020'!P15))*'SA Apr 2020'!S15/100)),IF(AND('SA Apr 2020'!P15&gt;0,'SA Apr 2020'!R15=""&gt;0),IF(($C$5&lt;'SA Apr 2020'!P15),(0),($C$5-'SA Apr 2020'!P15)*'SA Apr 2020'!Q15/100),0)))</f>
        <v>0</v>
      </c>
      <c r="I21" s="52">
        <f t="shared" si="19"/>
        <v>1955.2188000000003</v>
      </c>
      <c r="J21" s="109">
        <f t="shared" si="20"/>
        <v>7418.0000000000009</v>
      </c>
      <c r="K21" s="109">
        <f t="shared" si="21"/>
        <v>7820.8752000000013</v>
      </c>
      <c r="L21" s="53">
        <f t="shared" si="22"/>
        <v>8602.9627200000014</v>
      </c>
      <c r="M21" s="54">
        <f>'SA Apr 2020'!BB15</f>
        <v>0</v>
      </c>
      <c r="N21" s="54">
        <f>'SA Apr 2020'!BC15</f>
        <v>0</v>
      </c>
      <c r="O21" s="54">
        <f>'SA Apr 2020'!BD15</f>
        <v>12</v>
      </c>
      <c r="P21" s="54">
        <f>'SA Apr 2020'!BE15</f>
        <v>0</v>
      </c>
      <c r="Q21" s="110" t="str">
        <f t="shared" si="23"/>
        <v>Pay-on-time off bill</v>
      </c>
      <c r="R21" s="73" t="str">
        <f t="shared" si="24"/>
        <v>Inclusive</v>
      </c>
      <c r="S21" s="111">
        <f t="shared" si="25"/>
        <v>7820.8752000000004</v>
      </c>
      <c r="T21" s="112">
        <f t="shared" si="26"/>
        <v>6882.3701760000004</v>
      </c>
      <c r="U21" s="97">
        <f t="shared" si="27"/>
        <v>8602.9627200000014</v>
      </c>
      <c r="V21" s="98">
        <f t="shared" si="28"/>
        <v>7570.6071936000008</v>
      </c>
      <c r="W21" s="55">
        <f>'SA Apr 2020'!BL15</f>
        <v>0</v>
      </c>
      <c r="X21" s="56" t="str">
        <f>'SA Apr 2020'!BM15</f>
        <v>n</v>
      </c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</row>
    <row r="22" spans="1:53" x14ac:dyDescent="0.15">
      <c r="A22" s="70" t="str">
        <f>'SA Apr 2020'!K16</f>
        <v>Amaysim</v>
      </c>
      <c r="B22" s="49" t="str">
        <f>'SA Apr 2020'!L16</f>
        <v>Business as you go</v>
      </c>
      <c r="C22" s="46">
        <f>IF('SA Apr 2020'!BP16=0,91*'SA Apr 2020'!M16/100,(91*'SA Apr 2020'!M16/100)+'SA Apr 2020'!BP16/4)</f>
        <v>58.558499999999995</v>
      </c>
      <c r="D22" s="46">
        <f>IF('SA Apr 2020'!O16="",$C$5*'SA Apr 2020'!N16/100,IF($C$5&gt;='SA Apr 2020'!P16,('SA Apr 2020'!P16*'SA Apr 2020'!N16/100),($C$5*'SA Apr 2020'!N16/100)))</f>
        <v>1794</v>
      </c>
      <c r="E22" s="46">
        <f>IF(AND('SA Apr 2020'!P16&gt;0,'SA Apr 2020'!R16&gt;0),IF($C$5&lt;'SA Apr 2020'!P16,0,IF($C$5&lt;=('SA Apr 2020'!R16+'SA Apr 2020'!P16),(($C$5-'SA Apr 2020'!P16)*'SA Apr 2020'!Q16/100),(('SA Apr 2020'!R16)*'SA Apr 2020'!Q16/100))),0)</f>
        <v>0</v>
      </c>
      <c r="F22" s="46">
        <f>IF(AND('SA Apr 2020'!Q16&gt;0,'SA Apr 2020'!S16&gt;0),IF($C$5&lt;('SA Apr 2020'!R16+'SA Apr 2020'!P16),0,IF($C$5&lt;=('SA Apr 2020'!T16+'SA Apr 2020'!R16+'SA Apr 2020'!P16),(($C$5-('SA Apr 2020'!R16+'SA Apr 2020'!P16))*'SA Apr 2020'!S16/100),('SA Apr 2020'!T16*'SA Apr 2020'!S16/100))),0)</f>
        <v>0</v>
      </c>
      <c r="G22" s="50">
        <v>0</v>
      </c>
      <c r="H22" s="46">
        <f>IF(AND('SA Apr 2020'!R16&gt;0,'SA Apr 2020'!T16&gt;0),IF(($C$5&lt;'SA Apr 2020'!T16),(0),($C$5-'SA Apr 2020'!T16)*'SA Apr 2020'!U16/100),IF(AND('SA Apr 2020'!R16&gt;0,'SA Apr 2020'!T16=""),IF(($C$5&lt;'SA Apr 2020'!R16+'SA Apr 2020'!P16),(0),(($C$5-('SA Apr 2020'!R16+'SA Apr 2020'!P16))*'SA Apr 2020'!S16/100)),IF(AND('SA Apr 2020'!P16&gt;0,'SA Apr 2020'!R16=""&gt;0),IF(($C$5&lt;'SA Apr 2020'!P16),(0),($C$5-'SA Apr 2020'!P16)*'SA Apr 2020'!Q16/100),0)))</f>
        <v>0</v>
      </c>
      <c r="I22" s="52">
        <f t="shared" si="19"/>
        <v>1852.5585000000001</v>
      </c>
      <c r="J22" s="109">
        <f t="shared" si="20"/>
        <v>7176</v>
      </c>
      <c r="K22" s="109">
        <f t="shared" si="21"/>
        <v>7410.2340000000004</v>
      </c>
      <c r="L22" s="53">
        <f t="shared" si="22"/>
        <v>8151.2574000000013</v>
      </c>
      <c r="M22" s="54">
        <f>'SA Apr 2020'!BB16</f>
        <v>0</v>
      </c>
      <c r="N22" s="54">
        <f>'SA Apr 2020'!BC16</f>
        <v>0</v>
      </c>
      <c r="O22" s="54">
        <f>'SA Apr 2020'!BD16</f>
        <v>0</v>
      </c>
      <c r="P22" s="54">
        <f>'SA Apr 2020'!BE16</f>
        <v>0</v>
      </c>
      <c r="Q22" s="110" t="str">
        <f t="shared" si="23"/>
        <v>No discount</v>
      </c>
      <c r="R22" s="73" t="str">
        <f t="shared" si="24"/>
        <v>Exclusive</v>
      </c>
      <c r="S22" s="111">
        <f t="shared" si="25"/>
        <v>7410.2340000000004</v>
      </c>
      <c r="T22" s="112">
        <f t="shared" si="26"/>
        <v>7410.2340000000004</v>
      </c>
      <c r="U22" s="97">
        <f t="shared" si="27"/>
        <v>8151.2574000000013</v>
      </c>
      <c r="V22" s="98">
        <f t="shared" si="28"/>
        <v>8151.2574000000013</v>
      </c>
      <c r="W22" s="55">
        <f>'SA Apr 2020'!BL16</f>
        <v>0</v>
      </c>
      <c r="X22" s="56" t="str">
        <f>'SA Apr 2020'!BM16</f>
        <v>n</v>
      </c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  <c r="BA22" s="289"/>
    </row>
    <row r="23" spans="1:53" x14ac:dyDescent="0.15">
      <c r="A23" s="70" t="str">
        <f>'SA Apr 2020'!K17</f>
        <v>Powerclub</v>
      </c>
      <c r="B23" s="73" t="str">
        <f>'SA Apr 2020'!L17</f>
        <v>Powerbank Business</v>
      </c>
      <c r="C23" s="46">
        <f>IF('SA Apr 2020'!BP17=0,91*'SA Apr 2020'!M17/100,(91*'SA Apr 2020'!M17/100)+'SA Apr 2020'!BP17/4)</f>
        <v>105.04563636363635</v>
      </c>
      <c r="D23" s="46">
        <f>IF('SA Apr 2020'!O17="",$C$5*'SA Apr 2020'!N17/100,IF($C$5&gt;='SA Apr 2020'!P17,('SA Apr 2020'!P17*'SA Apr 2020'!N17/100),($C$5*'SA Apr 2020'!N17/100)))</f>
        <v>1454.9999999999998</v>
      </c>
      <c r="E23" s="46">
        <f>IF(AND('SA Apr 2020'!P17&gt;0,'SA Apr 2020'!R17&gt;0),IF($C$5&lt;'SA Apr 2020'!P17,0,IF($C$5&lt;=('SA Apr 2020'!R17+'SA Apr 2020'!P17),(($C$5-'SA Apr 2020'!P17)*'SA Apr 2020'!Q17/100),(('SA Apr 2020'!R17)*'SA Apr 2020'!Q17/100))),0)</f>
        <v>0</v>
      </c>
      <c r="F23" s="46">
        <f>IF(AND('SA Apr 2020'!Q17&gt;0,'SA Apr 2020'!S17&gt;0),IF($C$5&lt;('SA Apr 2020'!R17+'SA Apr 2020'!P17),0,IF($C$5&lt;=('SA Apr 2020'!T17+'SA Apr 2020'!R17+'SA Apr 2020'!P17),(($C$5-('SA Apr 2020'!R17+'SA Apr 2020'!P17))*'SA Apr 2020'!S17/100),('SA Apr 2020'!T17*'SA Apr 2020'!S17/100))),0)</f>
        <v>0</v>
      </c>
      <c r="G23" s="50">
        <v>0</v>
      </c>
      <c r="H23" s="46">
        <f>IF(AND('SA Apr 2020'!R17&gt;0,'SA Apr 2020'!T17&gt;0),IF(($C$5&lt;'SA Apr 2020'!T17),(0),($C$5-'SA Apr 2020'!T17)*'SA Apr 2020'!U17/100),IF(AND('SA Apr 2020'!R17&gt;0,'SA Apr 2020'!T17=""),IF(($C$5&lt;'SA Apr 2020'!R17+'SA Apr 2020'!P17),(0),(($C$5-('SA Apr 2020'!R17+'SA Apr 2020'!P17))*'SA Apr 2020'!S17/100)),IF(AND('SA Apr 2020'!P17&gt;0,'SA Apr 2020'!R17=""&gt;0),IF(($C$5&lt;'SA Apr 2020'!P17),(0),($C$5-'SA Apr 2020'!P17)*'SA Apr 2020'!Q17/100),0)))</f>
        <v>0</v>
      </c>
      <c r="I23" s="52">
        <f t="shared" si="19"/>
        <v>1560.045636363636</v>
      </c>
      <c r="J23" s="111">
        <f t="shared" si="20"/>
        <v>5819.9999999999991</v>
      </c>
      <c r="K23" s="112">
        <f t="shared" si="21"/>
        <v>6240.1825454545442</v>
      </c>
      <c r="L23" s="53">
        <f t="shared" si="22"/>
        <v>6864.2007999999996</v>
      </c>
      <c r="M23" s="54">
        <f>'SA Apr 2020'!BB17</f>
        <v>0</v>
      </c>
      <c r="N23" s="54">
        <f>'SA Apr 2020'!BC17</f>
        <v>0</v>
      </c>
      <c r="O23" s="54">
        <f>'SA Apr 2020'!BD17</f>
        <v>0</v>
      </c>
      <c r="P23" s="54">
        <f>'SA Apr 2020'!BE17</f>
        <v>0</v>
      </c>
      <c r="Q23" s="110" t="str">
        <f t="shared" si="23"/>
        <v>No discount</v>
      </c>
      <c r="R23" s="73" t="str">
        <f t="shared" si="24"/>
        <v>Exclusive</v>
      </c>
      <c r="S23" s="111">
        <f t="shared" si="25"/>
        <v>6240.1825454545442</v>
      </c>
      <c r="T23" s="112">
        <f t="shared" si="26"/>
        <v>6240.1825454545442</v>
      </c>
      <c r="U23" s="97">
        <f t="shared" si="27"/>
        <v>6864.2007999999996</v>
      </c>
      <c r="V23" s="98">
        <f t="shared" si="28"/>
        <v>6864.2007999999996</v>
      </c>
      <c r="W23" s="55">
        <f>'SA Apr 2020'!BL17</f>
        <v>0</v>
      </c>
      <c r="X23" s="56">
        <f>'SA Apr 2020'!BM17</f>
        <v>0</v>
      </c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  <c r="BA23" s="289"/>
    </row>
    <row r="24" spans="1:53" x14ac:dyDescent="0.15">
      <c r="A24" s="70" t="str">
        <f>'SA Apr 2020'!K18</f>
        <v>Energy Locals</v>
      </c>
      <c r="B24" s="73" t="str">
        <f>'SA Apr 2020'!L18</f>
        <v>Business Member</v>
      </c>
      <c r="C24" s="46">
        <f>IF('SA Apr 2020'!BP18=0,91*'SA Apr 2020'!M18/100,(91*'SA Apr 2020'!M18/100)+'SA Apr 2020'!BP18/4)</f>
        <v>155.52249999999998</v>
      </c>
      <c r="D24" s="46">
        <f>IF('SA Apr 2020'!O18="",$C$5*'SA Apr 2020'!N18/100,IF($C$5&gt;='SA Apr 2020'!P18,('SA Apr 2020'!P18*'SA Apr 2020'!N18/100),($C$5*'SA Apr 2020'!N18/100)))</f>
        <v>1659.090909090909</v>
      </c>
      <c r="E24" s="46">
        <f>IF(AND('SA Apr 2020'!P18&gt;0,'SA Apr 2020'!R18&gt;0),IF($C$5&lt;'SA Apr 2020'!P18,0,IF($C$5&lt;=('SA Apr 2020'!R18+'SA Apr 2020'!P18),(($C$5-'SA Apr 2020'!P18)*'SA Apr 2020'!Q18/100),(('SA Apr 2020'!R18)*'SA Apr 2020'!Q18/100))),0)</f>
        <v>0</v>
      </c>
      <c r="F24" s="46">
        <f>IF(AND('SA Apr 2020'!Q18&gt;0,'SA Apr 2020'!S18&gt;0),IF($C$5&lt;('SA Apr 2020'!R18+'SA Apr 2020'!P18),0,IF($C$5&lt;=('SA Apr 2020'!T18+'SA Apr 2020'!R18+'SA Apr 2020'!P18),(($C$5-('SA Apr 2020'!R18+'SA Apr 2020'!P18))*'SA Apr 2020'!S18/100),('SA Apr 2020'!T18*'SA Apr 2020'!S18/100))),0)</f>
        <v>0</v>
      </c>
      <c r="G24" s="50">
        <v>0</v>
      </c>
      <c r="H24" s="46">
        <f>IF(AND('SA Apr 2020'!R18&gt;0,'SA Apr 2020'!T18&gt;0),IF(($C$5&lt;'SA Apr 2020'!T18),(0),($C$5-'SA Apr 2020'!T18)*'SA Apr 2020'!U18/100),IF(AND('SA Apr 2020'!R18&gt;0,'SA Apr 2020'!T18=""),IF(($C$5&lt;'SA Apr 2020'!R18+'SA Apr 2020'!P18),(0),(($C$5-('SA Apr 2020'!R18+'SA Apr 2020'!P18))*'SA Apr 2020'!S18/100)),IF(AND('SA Apr 2020'!P18&gt;0,'SA Apr 2020'!R18=""&gt;0),IF(($C$5&lt;'SA Apr 2020'!P18),(0),($C$5-'SA Apr 2020'!P18)*'SA Apr 2020'!Q18/100),0)))</f>
        <v>0</v>
      </c>
      <c r="I24" s="52">
        <f t="shared" si="19"/>
        <v>1814.613409090909</v>
      </c>
      <c r="J24" s="111">
        <f t="shared" si="20"/>
        <v>6636.363636363636</v>
      </c>
      <c r="K24" s="112">
        <f t="shared" si="21"/>
        <v>7258.4536363636362</v>
      </c>
      <c r="L24" s="53">
        <f t="shared" si="22"/>
        <v>7984.2990000000009</v>
      </c>
      <c r="M24" s="54">
        <f>'SA Apr 2020'!BB18</f>
        <v>0</v>
      </c>
      <c r="N24" s="54">
        <f>'SA Apr 2020'!BC18</f>
        <v>0</v>
      </c>
      <c r="O24" s="54">
        <f>'SA Apr 2020'!BD18</f>
        <v>0</v>
      </c>
      <c r="P24" s="54">
        <f>'SA Apr 2020'!BE18</f>
        <v>0</v>
      </c>
      <c r="Q24" s="110" t="str">
        <f t="shared" si="23"/>
        <v>No discount</v>
      </c>
      <c r="R24" s="73" t="str">
        <f t="shared" si="24"/>
        <v>Exclusive</v>
      </c>
      <c r="S24" s="111">
        <f t="shared" si="25"/>
        <v>7258.4536363636362</v>
      </c>
      <c r="T24" s="112">
        <f t="shared" si="26"/>
        <v>7258.4536363636362</v>
      </c>
      <c r="U24" s="97">
        <f t="shared" si="27"/>
        <v>7984.2990000000009</v>
      </c>
      <c r="V24" s="98">
        <f t="shared" si="28"/>
        <v>7984.2990000000009</v>
      </c>
      <c r="W24" s="55">
        <f>'SA Apr 2020'!BL18</f>
        <v>0</v>
      </c>
      <c r="X24" s="56" t="str">
        <f>'SA Apr 2020'!BM18</f>
        <v>n</v>
      </c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</row>
    <row r="25" spans="1:53" ht="15" thickBot="1" x14ac:dyDescent="0.2">
      <c r="A25" s="71" t="str">
        <f>'SA Apr 2020'!K19</f>
        <v>Future X Power</v>
      </c>
      <c r="B25" s="72" t="str">
        <f>'SA Apr 2020'!L19</f>
        <v>Flexi Saver</v>
      </c>
      <c r="C25" s="58">
        <f>IF('SA Apr 2020'!BP19=0,91*'SA Apr 2020'!M19/100,(91*'SA Apr 2020'!M19/100)+'SA Apr 2020'!BP19/4)</f>
        <v>80.989999999999995</v>
      </c>
      <c r="D25" s="58">
        <f>IF('SA Apr 2020'!O19="",$C$5*'SA Apr 2020'!N19/100,IF($C$5&gt;='SA Apr 2020'!P19,('SA Apr 2020'!P19*'SA Apr 2020'!N19/100),($C$5*'SA Apr 2020'!N19/100)))</f>
        <v>1990.9090909090905</v>
      </c>
      <c r="E25" s="58">
        <f>IF(AND('SA Apr 2020'!P19&gt;0,'SA Apr 2020'!R19&gt;0),IF($C$5&lt;'SA Apr 2020'!P19,0,IF($C$5&lt;=('SA Apr 2020'!R19+'SA Apr 2020'!P19),(($C$5-'SA Apr 2020'!P19)*'SA Apr 2020'!Q19/100),(('SA Apr 2020'!R19)*'SA Apr 2020'!Q19/100))),0)</f>
        <v>0</v>
      </c>
      <c r="F25" s="58">
        <f>IF(AND('SA Apr 2020'!Q19&gt;0,'SA Apr 2020'!S19&gt;0),IF($C$5&lt;('SA Apr 2020'!R19+'SA Apr 2020'!P19),0,IF($C$5&lt;=('SA Apr 2020'!T19+'SA Apr 2020'!R19+'SA Apr 2020'!P19),(($C$5-('SA Apr 2020'!R19+'SA Apr 2020'!P19))*'SA Apr 2020'!S19/100),('SA Apr 2020'!T19*'SA Apr 2020'!S19/100))),0)</f>
        <v>0</v>
      </c>
      <c r="G25" s="59">
        <v>1</v>
      </c>
      <c r="H25" s="58">
        <f>IF(AND('SA Apr 2020'!R19&gt;0,'SA Apr 2020'!T19&gt;0),IF(($C$5&lt;'SA Apr 2020'!T19),(0),($C$5-'SA Apr 2020'!T19)*'SA Apr 2020'!U19/100),IF(AND('SA Apr 2020'!R19&gt;0,'SA Apr 2020'!T19=""),IF(($C$5&lt;'SA Apr 2020'!R19+'SA Apr 2020'!P19),(0),(($C$5-('SA Apr 2020'!R19+'SA Apr 2020'!P19))*'SA Apr 2020'!S19/100)),IF(AND('SA Apr 2020'!P19&gt;0,'SA Apr 2020'!R19=""&gt;0),IF(($C$5&lt;'SA Apr 2020'!P19),(0),($C$5-'SA Apr 2020'!P19)*'SA Apr 2020'!Q19/100),0)))</f>
        <v>0</v>
      </c>
      <c r="I25" s="61">
        <f t="shared" ref="I25" si="29">SUM(C25:H25)</f>
        <v>2072.8990909090903</v>
      </c>
      <c r="J25" s="113">
        <f t="shared" ref="J25" si="30">(I25-C25)*4</f>
        <v>7967.6363636363612</v>
      </c>
      <c r="K25" s="114">
        <f t="shared" ref="K25" si="31">I25*4</f>
        <v>8291.5963636363613</v>
      </c>
      <c r="L25" s="62">
        <f t="shared" ref="L25" si="32">K25*1.1</f>
        <v>9120.7559999999976</v>
      </c>
      <c r="M25" s="63">
        <f>'SA Apr 2020'!BB19</f>
        <v>0</v>
      </c>
      <c r="N25" s="63">
        <f>'SA Apr 2020'!BC19</f>
        <v>0</v>
      </c>
      <c r="O25" s="63">
        <f>'SA Apr 2020'!BD19</f>
        <v>0</v>
      </c>
      <c r="P25" s="63">
        <f>'SA Apr 2020'!BE19</f>
        <v>15</v>
      </c>
      <c r="Q25" s="115" t="str">
        <f t="shared" ref="Q25" si="33">IF(SUM(M25:P25)=0,"No discount",IF(M25&gt;0,"Guaranteed off bill",IF(N25&gt;0,"Guaranteed off usage",IF(O25&gt;0,"Pay-on-time off bill","Pay-on-time off usage"))))</f>
        <v>Pay-on-time off usage</v>
      </c>
      <c r="R25" s="72" t="str">
        <f t="shared" ref="R25" si="34">IF(OR(A25="Origin Energy",A25="Red Energy",A25="Powershop"),"Inclusive","Exclusive")</f>
        <v>Exclusive</v>
      </c>
      <c r="S25" s="113">
        <f t="shared" ref="S25" si="35">IF(AND(Q25="Guaranteed off bill",R25="Inclusive"),((K25*1.1)-((K25*1.1)*M25/100))/1.1,IF(AND(Q25="Guaranteed off usage",R25="Inclusive"),((K25*1.1)-((J25*1.1)*N25/100))/1.1,IF(AND(Q25="Guaranteed off bill",R25="Exclusive"),K25-(K25*M25/100),IF(AND(Q25="Guaranteed off usage",R25="Exclusive"),K25-(J25*N25/100),IF(R25="Inclusive",((K25*1.1))/1.1,K25)))))</f>
        <v>8291.5963636363613</v>
      </c>
      <c r="T25" s="114">
        <f t="shared" ref="T25" si="36">IF(AND(Q25="Pay-on-time off bill",R25="Inclusive"),((S25*1.1)-((S25*1.1)*O25/100))/1.1,IF(AND(Q25="Pay-on-time off usage",R25="Inclusive"),((S25*1.1)-((J25*1.1)*P25/100))/1.1,IF(AND(Q25="Pay-on-time off bill",R25="Exclusive"),S25-(S25*O25/100),IF(AND(Q25="Pay-on-time off usage",R25="Exclusive"),S25-(J25*P25/100),IF(R25="Inclusive",((S25*1.1))/1.1,S25)))))</f>
        <v>7096.4509090909069</v>
      </c>
      <c r="U25" s="99">
        <f t="shared" ref="U25" si="37">S25*1.1</f>
        <v>9120.7559999999976</v>
      </c>
      <c r="V25" s="100">
        <f t="shared" ref="V25" si="38">T25*1.1</f>
        <v>7806.0959999999977</v>
      </c>
      <c r="W25" s="64">
        <f>'SA Apr 2020'!BL19</f>
        <v>0</v>
      </c>
      <c r="X25" s="65" t="str">
        <f>'SA Apr 2020'!BM19</f>
        <v>n</v>
      </c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89"/>
    </row>
    <row r="26" spans="1:53" x14ac:dyDescent="0.15">
      <c r="G26" s="287"/>
      <c r="H26" s="287"/>
      <c r="I26" s="288"/>
      <c r="J26" s="288"/>
    </row>
    <row r="27" spans="1:53" ht="15" thickBot="1" x14ac:dyDescent="0.2">
      <c r="D27" s="287"/>
      <c r="E27" s="287"/>
      <c r="F27" s="287"/>
      <c r="G27" s="287"/>
      <c r="H27" s="287"/>
      <c r="I27" s="288"/>
      <c r="J27" s="288"/>
    </row>
    <row r="28" spans="1:53" x14ac:dyDescent="0.15">
      <c r="A28" s="36" t="s">
        <v>84</v>
      </c>
      <c r="B28" s="37"/>
      <c r="C28" s="37"/>
      <c r="D28" s="42"/>
      <c r="E28" s="42"/>
      <c r="F28" s="42"/>
      <c r="G28" s="42"/>
      <c r="H28" s="42"/>
      <c r="I28" s="43"/>
      <c r="J28" s="43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  <c r="BA28" s="289"/>
    </row>
    <row r="29" spans="1:53" x14ac:dyDescent="0.15">
      <c r="A29" s="40" t="s">
        <v>197</v>
      </c>
      <c r="B29" s="38"/>
      <c r="C29" s="47">
        <v>5000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41"/>
    </row>
    <row r="30" spans="1:53" x14ac:dyDescent="0.15">
      <c r="A30" s="40" t="s">
        <v>85</v>
      </c>
      <c r="B30" s="38"/>
      <c r="C30" s="48">
        <v>0.7</v>
      </c>
      <c r="D30" s="44"/>
      <c r="E30" s="44"/>
      <c r="F30" s="44"/>
      <c r="G30" s="44"/>
      <c r="H30" s="44"/>
      <c r="I30" s="45"/>
      <c r="J30" s="45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41"/>
    </row>
    <row r="31" spans="1:53" x14ac:dyDescent="0.15">
      <c r="A31" s="40" t="s">
        <v>171</v>
      </c>
      <c r="B31" s="38"/>
      <c r="C31" s="48">
        <v>0.3</v>
      </c>
      <c r="D31" s="44"/>
      <c r="E31" s="44"/>
      <c r="F31" s="44"/>
      <c r="G31" s="44"/>
      <c r="H31" s="44"/>
      <c r="I31" s="45"/>
      <c r="J31" s="45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41"/>
      <c r="Y31" s="289"/>
      <c r="Z31" s="289"/>
      <c r="AA31" s="289"/>
      <c r="AB31" s="289"/>
      <c r="AC31" s="289"/>
      <c r="AD31" s="289"/>
      <c r="AE31" s="289"/>
      <c r="AF31" s="289"/>
      <c r="AG31" s="289"/>
      <c r="AH31" s="289"/>
      <c r="AI31" s="289"/>
      <c r="AJ31" s="289"/>
      <c r="AK31" s="289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  <c r="BA31" s="289"/>
    </row>
    <row r="32" spans="1:53" x14ac:dyDescent="0.15">
      <c r="A32" s="40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88"/>
      <c r="S32" s="88"/>
      <c r="T32" s="88"/>
      <c r="U32" s="88"/>
      <c r="V32" s="38"/>
      <c r="W32" s="38"/>
      <c r="X32" s="41"/>
    </row>
    <row r="33" spans="1:53" ht="75" x14ac:dyDescent="0.15">
      <c r="A33" s="271" t="s">
        <v>216</v>
      </c>
      <c r="B33" s="272" t="s">
        <v>198</v>
      </c>
      <c r="C33" s="274" t="s">
        <v>199</v>
      </c>
      <c r="D33" s="274" t="s">
        <v>200</v>
      </c>
      <c r="E33" s="274" t="s">
        <v>201</v>
      </c>
      <c r="F33" s="274" t="s">
        <v>164</v>
      </c>
      <c r="G33" s="274" t="s">
        <v>84</v>
      </c>
      <c r="H33" s="274" t="s">
        <v>233</v>
      </c>
      <c r="I33" s="274" t="s">
        <v>165</v>
      </c>
      <c r="J33" s="275" t="s">
        <v>544</v>
      </c>
      <c r="K33" s="276" t="s">
        <v>166</v>
      </c>
      <c r="L33" s="277" t="s">
        <v>545</v>
      </c>
      <c r="M33" s="278" t="s">
        <v>167</v>
      </c>
      <c r="N33" s="278" t="s">
        <v>168</v>
      </c>
      <c r="O33" s="278" t="s">
        <v>169</v>
      </c>
      <c r="P33" s="278" t="s">
        <v>170</v>
      </c>
      <c r="Q33" s="279" t="s">
        <v>541</v>
      </c>
      <c r="R33" s="279" t="s">
        <v>542</v>
      </c>
      <c r="S33" s="280" t="s">
        <v>546</v>
      </c>
      <c r="T33" s="280" t="s">
        <v>547</v>
      </c>
      <c r="U33" s="281" t="s">
        <v>227</v>
      </c>
      <c r="V33" s="281" t="s">
        <v>272</v>
      </c>
      <c r="W33" s="278" t="s">
        <v>82</v>
      </c>
      <c r="X33" s="282" t="s">
        <v>83</v>
      </c>
    </row>
    <row r="34" spans="1:53" x14ac:dyDescent="0.15">
      <c r="A34" s="70" t="str">
        <f>'SA Apr 2020'!K20</f>
        <v>AGL</v>
      </c>
      <c r="B34" s="49" t="str">
        <f>'SA Apr 2020'!L20</f>
        <v>Business Essentials Saver</v>
      </c>
      <c r="C34" s="46">
        <f>IF('SA Apr 2020'!BP20=0,91*'SA Apr 2020'!M20/100,(91*'SA Apr 2020'!M20/100)+'SA Apr 2020'!BP20/4)</f>
        <v>69.648090909090911</v>
      </c>
      <c r="D34" s="46">
        <f>IF('SA Apr 2020'!O20="",$C$29*$C$30*'SA Apr 2020'!N20/100,IF($C$29*$C$30&gt;='SA Apr 2020'!P20,('SA Apr 2020'!P20*'SA Apr 2020'!N20/100),($C$29*$C$30*'SA Apr 2020'!N20/100)))</f>
        <v>1198.272727272727</v>
      </c>
      <c r="E34" s="46">
        <f>IF(AND('SA Apr 2020'!P20&gt;0,'SA Apr 2020'!R20&gt;0),IF($C$29*$C$30&lt;'SA Apr 2020'!P20,0,IF($C$29*$C$30&lt;=('SA Apr 2020'!R20+'SA Apr 2020'!P20),(($C$29*$C$30-'SA Apr 2020'!P20)*'SA Apr 2020'!Q20/100),(('SA Apr 2020'!R20)*'SA Apr 2020'!Q20/100))),0)</f>
        <v>0</v>
      </c>
      <c r="F34" s="46">
        <f>IF(AND('SA Apr 2020'!R20&gt;0,'SA Apr 2020'!T20&gt;0),IF(($C$29*$C$30&lt;'SA Apr 2020'!T20),(0),($C$29*$C$30-'SA Apr 2020'!T20)*'SA Apr 2020'!U20/100),IF(AND('SA Apr 2020'!R20&gt;0,'SA Apr 2020'!T20=""),IF(($C$29*$C$30&lt;'SA Apr 2020'!R20+'SA Apr 2020'!P20),(0),(($C$29*$C$30-('SA Apr 2020'!R20+'SA Apr 2020'!P20))*'SA Apr 2020'!S20/100)),IF(AND('SA Apr 2020'!P20&gt;0,'SA Apr 2020'!R20=""&gt;0),IF(($C$29*$C$30&lt;'SA Apr 2020'!P20),(0),($C$29*$C$30-'SA Apr 2020'!P20)*'SA Apr 2020'!Q20/100),0)))</f>
        <v>0</v>
      </c>
      <c r="G34" s="50">
        <f>($C$29*$C$31)*'SA Apr 2020'!AF20/100</f>
        <v>259.49999865000001</v>
      </c>
      <c r="H34" s="51">
        <v>0</v>
      </c>
      <c r="I34" s="52">
        <f t="shared" ref="I34:I39" si="39">SUM(C34:G34)</f>
        <v>1527.420816831818</v>
      </c>
      <c r="J34" s="109">
        <f>(I34-C34)*4</f>
        <v>5831.0909036909088</v>
      </c>
      <c r="K34" s="109">
        <f t="shared" ref="K34:K39" si="40">I34*4</f>
        <v>6109.683267327272</v>
      </c>
      <c r="L34" s="53">
        <f t="shared" ref="L34:L39" si="41">K34*1.1</f>
        <v>6720.6515940599993</v>
      </c>
      <c r="M34" s="54">
        <f>'SA Apr 2020'!BB20</f>
        <v>0</v>
      </c>
      <c r="N34" s="54">
        <f>'SA Apr 2020'!BC20</f>
        <v>0</v>
      </c>
      <c r="O34" s="54">
        <f>'SA Apr 2020'!BD20</f>
        <v>0</v>
      </c>
      <c r="P34" s="54">
        <f>'SA Apr 2020'!BE20</f>
        <v>0</v>
      </c>
      <c r="Q34" s="110" t="str">
        <f t="shared" ref="Q34:Q39" si="42">IF(SUM(M34:P34)=0,"No discount",IF(M34&gt;0,"Guaranteed off bill",IF(N34&gt;0,"Guaranteed off usage",IF(O34&gt;0,"Pay-on-time off bill","Pay-on-time off usage"))))</f>
        <v>No discount</v>
      </c>
      <c r="R34" s="73" t="str">
        <f t="shared" ref="R34:R39" si="43">IF(OR(A34="Origin Energy",A34="Red Energy",A34="Powershop"),"Inclusive","Exclusive")</f>
        <v>Exclusive</v>
      </c>
      <c r="S34" s="111">
        <f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6109.683267327272</v>
      </c>
      <c r="T34" s="112">
        <f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6109.683267327272</v>
      </c>
      <c r="U34" s="97">
        <f>S34*1.1</f>
        <v>6720.6515940599993</v>
      </c>
      <c r="V34" s="98">
        <f>T34*1.1</f>
        <v>6720.6515940599993</v>
      </c>
      <c r="W34" s="55">
        <f>'SA Apr 2020'!BL20</f>
        <v>0</v>
      </c>
      <c r="X34" s="56" t="str">
        <f>'SA Apr 2020'!BM20</f>
        <v>n</v>
      </c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</row>
    <row r="35" spans="1:53" x14ac:dyDescent="0.15">
      <c r="A35" s="70" t="str">
        <f>'SA Apr 2020'!K21</f>
        <v>Alinta Energy</v>
      </c>
      <c r="B35" s="49" t="str">
        <f>'SA Apr 2020'!L21</f>
        <v>Business Advantage</v>
      </c>
      <c r="C35" s="46">
        <f>IF('SA Apr 2020'!BP21=0,91*'SA Apr 2020'!M21/100,(91*'SA Apr 2020'!M21/100)+'SA Apr 2020'!BP21/4)</f>
        <v>82.355000000000004</v>
      </c>
      <c r="D35" s="46">
        <f>IF('SA Apr 2020'!O21="",$C$29*$C$30*'SA Apr 2020'!N21/100,IF($C$29*$C$30&gt;='SA Apr 2020'!P21,('SA Apr 2020'!P21*'SA Apr 2020'!N21/100),($C$29*$C$30*'SA Apr 2020'!N21/100)))</f>
        <v>1189.0454545454545</v>
      </c>
      <c r="E35" s="46">
        <f>IF(AND('SA Apr 2020'!P21&gt;0,'SA Apr 2020'!R21&gt;0),IF($C$29*$C$30&lt;'SA Apr 2020'!P21,0,IF($C$29*$C$30&lt;=('SA Apr 2020'!R21+'SA Apr 2020'!P21),(($C$29*$C$30-'SA Apr 2020'!P21)*'SA Apr 2020'!Q21/100),(('SA Apr 2020'!R21)*'SA Apr 2020'!Q21/100))),0)</f>
        <v>0</v>
      </c>
      <c r="F35" s="46">
        <f>IF(AND('SA Apr 2020'!R21&gt;0,'SA Apr 2020'!T21&gt;0),IF(($C$29*$C$30&lt;'SA Apr 2020'!T21),(0),($C$29*$C$30-'SA Apr 2020'!T21)*'SA Apr 2020'!U21/100),IF(AND('SA Apr 2020'!R21&gt;0,'SA Apr 2020'!T21=""),IF(($C$29*$C$30&lt;'SA Apr 2020'!R21+'SA Apr 2020'!P21),(0),(($C$29*$C$30-('SA Apr 2020'!R21+'SA Apr 2020'!P21))*'SA Apr 2020'!S21/100)),IF(AND('SA Apr 2020'!P21&gt;0,'SA Apr 2020'!R21=""&gt;0),IF(($C$29*$C$30&lt;'SA Apr 2020'!P21),(0),($C$29*$C$30-'SA Apr 2020'!P21)*'SA Apr 2020'!Q21/100),0)))</f>
        <v>0</v>
      </c>
      <c r="G35" s="50">
        <f>($C$29*$C$31)*'SA Apr 2020'!AF21/100</f>
        <v>233.9999985</v>
      </c>
      <c r="H35" s="51">
        <f>IF($C$29*$C$31&lt;'SA Apr 2020'!AG21,(0),((('SA Bills April 2020'!$C$29*'SA Bills April 2020'!$C$31)-('SA Apr 2020'!AG21))*'SA Apr 2020'!AH21/100))</f>
        <v>0</v>
      </c>
      <c r="I35" s="52">
        <f t="shared" si="39"/>
        <v>1505.4004530454545</v>
      </c>
      <c r="J35" s="109">
        <f t="shared" ref="J35:J39" si="44">(I35-C35)*4</f>
        <v>5692.1818121818178</v>
      </c>
      <c r="K35" s="109">
        <f t="shared" si="40"/>
        <v>6021.6018121818179</v>
      </c>
      <c r="L35" s="53">
        <f t="shared" si="41"/>
        <v>6623.7619934000004</v>
      </c>
      <c r="M35" s="54">
        <f>'SA Apr 2020'!BB21</f>
        <v>0</v>
      </c>
      <c r="N35" s="54">
        <f>'SA Apr 2020'!BC21</f>
        <v>0</v>
      </c>
      <c r="O35" s="54">
        <f>'SA Apr 2020'!BD21</f>
        <v>0</v>
      </c>
      <c r="P35" s="54">
        <f>'SA Apr 2020'!BE21</f>
        <v>0</v>
      </c>
      <c r="Q35" s="110" t="str">
        <f t="shared" si="42"/>
        <v>No discount</v>
      </c>
      <c r="R35" s="73" t="str">
        <f t="shared" si="43"/>
        <v>Exclusive</v>
      </c>
      <c r="S35" s="111">
        <f>IF(AND(Q35="Guaranteed off bill",R35="Inclusive"),((K35*1.1)-((K35*1.1)*M35/100))/1.1,IF(AND(Q35="Guaranteed off usage",R35="Inclusive"),((K35*1.1)-((J35*1.1)*N35/100))/1.1,IF(AND(Q35="Guaranteed off bill",R35="Exclusive"),K35-(K35*M35/100),IF(AND(Q35="Guaranteed off usage",R35="Exclusive"),K35-(J35*N35/100),IF(R35="Inclusive",((K35*1.1))/1.1,K35)))))</f>
        <v>6021.6018121818179</v>
      </c>
      <c r="T35" s="112">
        <f>IF(AND(Q35="Pay-on-time off bill",R35="Inclusive"),((S35*1.1)-((S35*1.1)*O35/100))/1.1,IF(AND(Q35="Pay-on-time off usage",R35="Inclusive"),((S35*1.1)-((J35*1.1)*P35/100))/1.1,IF(AND(Q35="Pay-on-time off bill",R35="Exclusive"),S35-(S35*O35/100),IF(AND(Q35="Pay-on-time off usage",R35="Exclusive"),S35-(J35*P35/100),IF(R35="Inclusive",((S35*1.1))/1.1,S35)))))</f>
        <v>6021.6018121818179</v>
      </c>
      <c r="U35" s="97">
        <f t="shared" ref="U35:V39" si="45">S35*1.1</f>
        <v>6623.7619934000004</v>
      </c>
      <c r="V35" s="98">
        <f t="shared" si="45"/>
        <v>6623.7619934000004</v>
      </c>
      <c r="W35" s="55">
        <f>'SA Apr 2020'!BL21</f>
        <v>0</v>
      </c>
      <c r="X35" s="56" t="str">
        <f>'SA Apr 2020'!BM21</f>
        <v>n</v>
      </c>
    </row>
    <row r="36" spans="1:53" x14ac:dyDescent="0.15">
      <c r="A36" s="70" t="str">
        <f>'SA Apr 2020'!K22</f>
        <v>Click Energy</v>
      </c>
      <c r="B36" s="49" t="str">
        <f>'SA Apr 2020'!L22</f>
        <v>Click Business Start</v>
      </c>
      <c r="C36" s="46">
        <f>IF('SA Apr 2020'!BP22=0,91*'SA Apr 2020'!M22/100,(91*'SA Apr 2020'!M22/100)+'SA Apr 2020'!BP22/4)</f>
        <v>64.48590909090909</v>
      </c>
      <c r="D36" s="46">
        <f>IF('SA Apr 2020'!O22="",$C$29*$C$30*'SA Apr 2020'!N22/100,IF($C$29*$C$30&gt;='SA Apr 2020'!P22,('SA Apr 2020'!P22*'SA Apr 2020'!N22/100),($C$29*$C$30*'SA Apr 2020'!N22/100)))</f>
        <v>1202.409090909091</v>
      </c>
      <c r="E36" s="46">
        <f>IF(AND('SA Apr 2020'!P22&gt;0,'SA Apr 2020'!R22&gt;0),IF($C$29*$C$30&lt;'SA Apr 2020'!P22,0,IF($C$29*$C$30&lt;=('SA Apr 2020'!R22+'SA Apr 2020'!P22),(($C$29*$C$30-'SA Apr 2020'!P22)*'SA Apr 2020'!Q22/100),(('SA Apr 2020'!R22)*'SA Apr 2020'!Q22/100))),0)</f>
        <v>0</v>
      </c>
      <c r="F36" s="46">
        <f>IF(AND('SA Apr 2020'!R22&gt;0,'SA Apr 2020'!T22&gt;0),IF(($C$29*$C$30&lt;'SA Apr 2020'!T22),(0),($C$29*$C$30-'SA Apr 2020'!T22)*'SA Apr 2020'!U22/100),IF(AND('SA Apr 2020'!R22&gt;0,'SA Apr 2020'!T22=""),IF(($C$29*$C$30&lt;'SA Apr 2020'!R22+'SA Apr 2020'!P22),(0),(($C$29*$C$30-('SA Apr 2020'!R22+'SA Apr 2020'!P22))*'SA Apr 2020'!S22/100)),IF(AND('SA Apr 2020'!P22&gt;0,'SA Apr 2020'!R22=""&gt;0),IF(($C$29*$C$30&lt;'SA Apr 2020'!P22),(0),($C$29*$C$30-'SA Apr 2020'!P22)*'SA Apr 2020'!Q22/100),0)))</f>
        <v>0</v>
      </c>
      <c r="G36" s="50">
        <f>($C$29*$C$31)*'SA Apr 2020'!AF22/100</f>
        <v>262.49999849999995</v>
      </c>
      <c r="H36" s="51">
        <v>0</v>
      </c>
      <c r="I36" s="52">
        <f t="shared" si="39"/>
        <v>1529.3949984999999</v>
      </c>
      <c r="J36" s="109">
        <f t="shared" si="44"/>
        <v>5859.6363576363638</v>
      </c>
      <c r="K36" s="109">
        <f t="shared" si="40"/>
        <v>6117.5799939999997</v>
      </c>
      <c r="L36" s="53">
        <f t="shared" si="41"/>
        <v>6729.3379934000004</v>
      </c>
      <c r="M36" s="54">
        <f>'SA Apr 2020'!BB22</f>
        <v>0</v>
      </c>
      <c r="N36" s="54">
        <f>'SA Apr 2020'!BC22</f>
        <v>0</v>
      </c>
      <c r="O36" s="54">
        <f>'SA Apr 2020'!BD22</f>
        <v>0</v>
      </c>
      <c r="P36" s="54">
        <f>'SA Apr 2020'!BE22</f>
        <v>0</v>
      </c>
      <c r="Q36" s="110" t="str">
        <f t="shared" si="42"/>
        <v>No discount</v>
      </c>
      <c r="R36" s="73" t="str">
        <f t="shared" si="43"/>
        <v>Exclusive</v>
      </c>
      <c r="S36" s="111">
        <f t="shared" ref="S36:S39" si="46">IF(AND(Q36="Guaranteed off bill",R36="Inclusive"),((K36*1.1)-((K36*1.1)*M36/100))/1.1,IF(AND(Q36="Guaranteed off usage",R36="Inclusive"),((K36*1.1)-((J36*1.1)*N36/100))/1.1,IF(AND(Q36="Guaranteed off bill",R36="Exclusive"),K36-(K36*M36/100),IF(AND(Q36="Guaranteed off usage",R36="Exclusive"),K36-(J36*N36/100),IF(R36="Inclusive",((K36*1.1))/1.1,K36)))))</f>
        <v>6117.5799939999997</v>
      </c>
      <c r="T36" s="112">
        <f t="shared" ref="T36:T39" si="47">IF(AND(Q36="Pay-on-time off bill",R36="Inclusive"),((S36*1.1)-((S36*1.1)*O36/100))/1.1,IF(AND(Q36="Pay-on-time off usage",R36="Inclusive"),((S36*1.1)-((J36*1.1)*P36/100))/1.1,IF(AND(Q36="Pay-on-time off bill",R36="Exclusive"),S36-(S36*O36/100),IF(AND(Q36="Pay-on-time off usage",R36="Exclusive"),S36-(J36*P36/100),IF(R36="Inclusive",((S36*1.1))/1.1,S36)))))</f>
        <v>6117.5799939999997</v>
      </c>
      <c r="U36" s="97">
        <f t="shared" si="45"/>
        <v>6729.3379934000004</v>
      </c>
      <c r="V36" s="98">
        <f t="shared" si="45"/>
        <v>6729.3379934000004</v>
      </c>
      <c r="W36" s="55">
        <f>'SA Apr 2020'!BL22</f>
        <v>0</v>
      </c>
      <c r="X36" s="56" t="str">
        <f>'SA Apr 2020'!BM22</f>
        <v>n</v>
      </c>
    </row>
    <row r="37" spans="1:53" x14ac:dyDescent="0.15">
      <c r="A37" s="70" t="str">
        <f>'SA Apr 2020'!K23</f>
        <v>Commander</v>
      </c>
      <c r="B37" s="49" t="str">
        <f>'SA Apr 2020'!L23</f>
        <v>Market offer</v>
      </c>
      <c r="C37" s="46">
        <f>IF('SA Apr 2020'!BP23=0,91*'SA Apr 2020'!M23/100,(91*'SA Apr 2020'!M23/100)+'SA Apr 2020'!BP23/4)</f>
        <v>87.053909090909087</v>
      </c>
      <c r="D37" s="46">
        <f>IF('SA Apr 2020'!O23="",$C$29*$C$30*'SA Apr 2020'!N23/100,IF($C$29*$C$30&gt;='SA Apr 2020'!P23,('SA Apr 2020'!P23*'SA Apr 2020'!N23/100),($C$29*$C$30*'SA Apr 2020'!N23/100)))</f>
        <v>1181.409090909091</v>
      </c>
      <c r="E37" s="46">
        <f>IF(AND('SA Apr 2020'!P23&gt;0,'SA Apr 2020'!R23&gt;0),IF($C$29*$C$30&lt;'SA Apr 2020'!P23,0,IF($C$29*$C$30&lt;=('SA Apr 2020'!R23+'SA Apr 2020'!P23),(($C$29*$C$30-'SA Apr 2020'!P23)*'SA Apr 2020'!Q23/100),(('SA Apr 2020'!R23)*'SA Apr 2020'!Q23/100))),0)</f>
        <v>0</v>
      </c>
      <c r="F37" s="46">
        <f>IF(AND('SA Apr 2020'!R23&gt;0,'SA Apr 2020'!T23&gt;0),IF(($C$29*$C$30&lt;'SA Apr 2020'!T23),(0),($C$29*$C$30-'SA Apr 2020'!T23)*'SA Apr 2020'!U23/100),IF(AND('SA Apr 2020'!R23&gt;0,'SA Apr 2020'!T23=""),IF(($C$29*$C$30&lt;'SA Apr 2020'!R23+'SA Apr 2020'!P23),(0),(($C$29*$C$30-('SA Apr 2020'!R23+'SA Apr 2020'!P23))*'SA Apr 2020'!S23/100)),IF(AND('SA Apr 2020'!P23&gt;0,'SA Apr 2020'!R23=""&gt;0),IF(($C$29*$C$30&lt;'SA Apr 2020'!P23),(0),($C$29*$C$30-'SA Apr 2020'!P23)*'SA Apr 2020'!Q23/100),0)))</f>
        <v>0</v>
      </c>
      <c r="G37" s="50">
        <f>($C$29*$C$31)*'SA Apr 2020'!AF23/100</f>
        <v>38.454545454546</v>
      </c>
      <c r="H37" s="51">
        <v>0</v>
      </c>
      <c r="I37" s="52">
        <f t="shared" si="39"/>
        <v>1306.9175454545461</v>
      </c>
      <c r="J37" s="109">
        <f t="shared" si="44"/>
        <v>4879.4545454545478</v>
      </c>
      <c r="K37" s="109">
        <f t="shared" si="40"/>
        <v>5227.6701818181846</v>
      </c>
      <c r="L37" s="53">
        <f t="shared" si="41"/>
        <v>5750.4372000000039</v>
      </c>
      <c r="M37" s="54">
        <f>'SA Apr 2020'!BB23</f>
        <v>0</v>
      </c>
      <c r="N37" s="54">
        <f>'SA Apr 2020'!BC23</f>
        <v>0</v>
      </c>
      <c r="O37" s="54">
        <f>'SA Apr 2020'!BD23</f>
        <v>0</v>
      </c>
      <c r="P37" s="54">
        <f>'SA Apr 2020'!BE23</f>
        <v>0</v>
      </c>
      <c r="Q37" s="110" t="str">
        <f t="shared" si="42"/>
        <v>No discount</v>
      </c>
      <c r="R37" s="73" t="str">
        <f t="shared" si="43"/>
        <v>Exclusive</v>
      </c>
      <c r="S37" s="111">
        <f t="shared" si="46"/>
        <v>5227.6701818181846</v>
      </c>
      <c r="T37" s="112">
        <f t="shared" si="47"/>
        <v>5227.6701818181846</v>
      </c>
      <c r="U37" s="97">
        <f t="shared" si="45"/>
        <v>5750.4372000000039</v>
      </c>
      <c r="V37" s="98">
        <f t="shared" si="45"/>
        <v>5750.4372000000039</v>
      </c>
      <c r="W37" s="55">
        <f>'SA Apr 2020'!BL23</f>
        <v>0</v>
      </c>
      <c r="X37" s="56" t="str">
        <f>'SA Apr 2020'!BM23</f>
        <v>n</v>
      </c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</row>
    <row r="38" spans="1:53" x14ac:dyDescent="0.15">
      <c r="A38" s="70" t="str">
        <f>'SA Apr 2020'!K24</f>
        <v>Diamond Energy</v>
      </c>
      <c r="B38" s="49" t="str">
        <f>'SA Apr 2020'!L24</f>
        <v>Renewable Saver POT</v>
      </c>
      <c r="C38" s="46">
        <f>IF('SA Apr 2020'!BP24=0,91*'SA Apr 2020'!M24/100,(91*'SA Apr 2020'!M24/100)+'SA Apr 2020'!BP24/4)</f>
        <v>90.545000000000002</v>
      </c>
      <c r="D38" s="46">
        <f>IF('SA Apr 2020'!O24="",$C$29*$C$30*'SA Apr 2020'!N24/100,IF($C$29*$C$30&gt;='SA Apr 2020'!P24,('SA Apr 2020'!P24*'SA Apr 2020'!N24/100),($C$29*$C$30*'SA Apr 2020'!N24/100)))</f>
        <v>375.54545454545456</v>
      </c>
      <c r="E38" s="46">
        <f>IF(AND('SA Apr 2020'!P24&gt;0,'SA Apr 2020'!R24&gt;0),IF($C$29*$C$30&lt;'SA Apr 2020'!P24,0,IF($C$29*$C$30&lt;=('SA Apr 2020'!R24+'SA Apr 2020'!P24),(($C$29*$C$30-'SA Apr 2020'!P24)*'SA Apr 2020'!Q24/100),(('SA Apr 2020'!R24)*'SA Apr 2020'!Q24/100))),0)</f>
        <v>0</v>
      </c>
      <c r="F38" s="46">
        <f>IF(AND('SA Apr 2020'!R24&gt;0,'SA Apr 2020'!T24&gt;0),IF(($C$29*$C$30&lt;'SA Apr 2020'!T24),(0),($C$29*$C$30-'SA Apr 2020'!T24)*'SA Apr 2020'!U24/100),IF(AND('SA Apr 2020'!R24&gt;0,'SA Apr 2020'!T24=""),IF(($C$29*$C$30&lt;'SA Apr 2020'!R24+'SA Apr 2020'!P24),(0),(($C$29*$C$30-('SA Apr 2020'!R24+'SA Apr 2020'!P24))*'SA Apr 2020'!S24/100)),IF(AND('SA Apr 2020'!P24&gt;0,'SA Apr 2020'!R24=""&gt;0),IF(($C$29*$C$30&lt;'SA Apr 2020'!P24),(0),($C$29*$C$30-'SA Apr 2020'!P24)*'SA Apr 2020'!Q24/100),0)))</f>
        <v>998.86363636363637</v>
      </c>
      <c r="G38" s="50">
        <f>($C$29*$C$31)*'SA Apr 2020'!AF24/100</f>
        <v>299.31818181818181</v>
      </c>
      <c r="H38" s="51">
        <v>0</v>
      </c>
      <c r="I38" s="52">
        <f t="shared" si="39"/>
        <v>1764.2722727272728</v>
      </c>
      <c r="J38" s="109">
        <f t="shared" si="44"/>
        <v>6694.909090909091</v>
      </c>
      <c r="K38" s="109">
        <f t="shared" si="40"/>
        <v>7057.0890909090913</v>
      </c>
      <c r="L38" s="53">
        <f t="shared" si="41"/>
        <v>7762.7980000000007</v>
      </c>
      <c r="M38" s="54">
        <f>'SA Apr 2020'!BB24</f>
        <v>0</v>
      </c>
      <c r="N38" s="54">
        <f>'SA Apr 2020'!BC24</f>
        <v>0</v>
      </c>
      <c r="O38" s="54">
        <f>'SA Apr 2020'!BD24</f>
        <v>7</v>
      </c>
      <c r="P38" s="54">
        <f>'SA Apr 2020'!BE24</f>
        <v>0</v>
      </c>
      <c r="Q38" s="110" t="str">
        <f t="shared" si="42"/>
        <v>Pay-on-time off bill</v>
      </c>
      <c r="R38" s="73" t="str">
        <f t="shared" si="43"/>
        <v>Exclusive</v>
      </c>
      <c r="S38" s="111">
        <f t="shared" si="46"/>
        <v>7057.0890909090913</v>
      </c>
      <c r="T38" s="112">
        <f t="shared" si="47"/>
        <v>6563.0928545454553</v>
      </c>
      <c r="U38" s="97">
        <f t="shared" si="45"/>
        <v>7762.7980000000007</v>
      </c>
      <c r="V38" s="98">
        <f t="shared" si="45"/>
        <v>7219.4021400000011</v>
      </c>
      <c r="W38" s="55">
        <f>'SA Apr 2020'!BL24</f>
        <v>0</v>
      </c>
      <c r="X38" s="56" t="str">
        <f>'SA Apr 2020'!BM24</f>
        <v>n</v>
      </c>
    </row>
    <row r="39" spans="1:53" x14ac:dyDescent="0.15">
      <c r="A39" s="70" t="str">
        <f>'SA Apr 2020'!K25</f>
        <v>EnergyAustralia</v>
      </c>
      <c r="B39" s="49" t="str">
        <f>'SA Apr 2020'!L25</f>
        <v>Total Plan</v>
      </c>
      <c r="C39" s="46">
        <f>IF('SA Apr 2020'!BP25=0,91*'SA Apr 2020'!M25/100,(91*'SA Apr 2020'!M25/100)+'SA Apr 2020'!BP25/4)</f>
        <v>89.179999999999978</v>
      </c>
      <c r="D39" s="46">
        <f>IF('SA Apr 2020'!O25="",$C$29*$C$30*'SA Apr 2020'!N25/100,IF($C$29*$C$30&gt;='SA Apr 2020'!P25,('SA Apr 2020'!P25*'SA Apr 2020'!N25/100),($C$29*$C$30*'SA Apr 2020'!N25/100)))</f>
        <v>1388.2272727272727</v>
      </c>
      <c r="E39" s="46">
        <f>IF(AND('SA Apr 2020'!P25&gt;0,'SA Apr 2020'!R25&gt;0),IF($C$29*$C$30&lt;'SA Apr 2020'!P25,0,IF($C$29*$C$30&lt;=('SA Apr 2020'!R25+'SA Apr 2020'!P25),(($C$29*$C$30-'SA Apr 2020'!P25)*'SA Apr 2020'!Q25/100),(('SA Apr 2020'!R25)*'SA Apr 2020'!Q25/100))),0)</f>
        <v>0</v>
      </c>
      <c r="F39" s="46">
        <f>IF(AND('SA Apr 2020'!R25&gt;0,'SA Apr 2020'!T25&gt;0),IF(($C$29*$C$30&lt;'SA Apr 2020'!T25),(0),($C$29*$C$30-'SA Apr 2020'!T25)*'SA Apr 2020'!U25/100),IF(AND('SA Apr 2020'!R25&gt;0,'SA Apr 2020'!T25=""),IF(($C$29*$C$30&lt;'SA Apr 2020'!R25+'SA Apr 2020'!P25),(0),(($C$29*$C$30-('SA Apr 2020'!R25+'SA Apr 2020'!P25))*'SA Apr 2020'!S25/100)),IF(AND('SA Apr 2020'!P25&gt;0,'SA Apr 2020'!R25=""&gt;0),IF(($C$29*$C$30&lt;'SA Apr 2020'!P25),(0),($C$29*$C$30-'SA Apr 2020'!P25)*'SA Apr 2020'!Q25/100),0)))</f>
        <v>0</v>
      </c>
      <c r="G39" s="50">
        <f>($C$29*$C$31)*'SA Apr 2020'!AF25/100</f>
        <v>42.272727272730002</v>
      </c>
      <c r="H39" s="51">
        <v>0</v>
      </c>
      <c r="I39" s="52">
        <f t="shared" si="39"/>
        <v>1519.6800000000028</v>
      </c>
      <c r="J39" s="109">
        <f t="shared" si="44"/>
        <v>5722.0000000000109</v>
      </c>
      <c r="K39" s="109">
        <f t="shared" si="40"/>
        <v>6078.7200000000112</v>
      </c>
      <c r="L39" s="53">
        <f t="shared" si="41"/>
        <v>6686.5920000000124</v>
      </c>
      <c r="M39" s="54">
        <f>'SA Apr 2020'!BB25</f>
        <v>5</v>
      </c>
      <c r="N39" s="54">
        <f>'SA Apr 2020'!BC25</f>
        <v>0</v>
      </c>
      <c r="O39" s="54">
        <f>'SA Apr 2020'!BD25</f>
        <v>0</v>
      </c>
      <c r="P39" s="54">
        <f>'SA Apr 2020'!BE25</f>
        <v>0</v>
      </c>
      <c r="Q39" s="110" t="str">
        <f t="shared" si="42"/>
        <v>Guaranteed off bill</v>
      </c>
      <c r="R39" s="73" t="str">
        <f t="shared" si="43"/>
        <v>Exclusive</v>
      </c>
      <c r="S39" s="111">
        <f t="shared" si="46"/>
        <v>5774.7840000000106</v>
      </c>
      <c r="T39" s="112">
        <f t="shared" si="47"/>
        <v>5774.7840000000106</v>
      </c>
      <c r="U39" s="97">
        <f t="shared" si="45"/>
        <v>6352.2624000000123</v>
      </c>
      <c r="V39" s="98">
        <f t="shared" si="45"/>
        <v>6352.2624000000123</v>
      </c>
      <c r="W39" s="55">
        <f>'SA Apr 2020'!BL25</f>
        <v>0</v>
      </c>
      <c r="X39" s="56" t="str">
        <f>'SA Apr 2020'!BM25</f>
        <v>n</v>
      </c>
    </row>
    <row r="40" spans="1:53" x14ac:dyDescent="0.15">
      <c r="A40" s="70" t="str">
        <f>'SA Apr 2020'!K26</f>
        <v>Lumo Energy</v>
      </c>
      <c r="B40" s="49" t="str">
        <f>'SA Apr 2020'!L26</f>
        <v>Basic</v>
      </c>
      <c r="C40" s="46">
        <f>IF('SA Apr 2020'!BP26=0,91*'SA Apr 2020'!M26/100,(91*'SA Apr 2020'!M26/100)+'SA Apr 2020'!BP26/4)</f>
        <v>78.276545454545442</v>
      </c>
      <c r="D40" s="46">
        <f>IF('SA Apr 2020'!O26="",$C$29*$C$30*'SA Apr 2020'!N26/100,IF($C$29*$C$30&gt;='SA Apr 2020'!P26,('SA Apr 2020'!P26*'SA Apr 2020'!N26/100),($C$29*$C$30*'SA Apr 2020'!N26/100)))</f>
        <v>1186.1818181818182</v>
      </c>
      <c r="E40" s="46">
        <f>IF(AND('SA Apr 2020'!P26&gt;0,'SA Apr 2020'!R26&gt;0),IF($C$29*$C$30&lt;'SA Apr 2020'!P26,0,IF($C$29*$C$30&lt;=('SA Apr 2020'!R26+'SA Apr 2020'!P26),(($C$29*$C$30-'SA Apr 2020'!P26)*'SA Apr 2020'!Q26/100),(('SA Apr 2020'!R26)*'SA Apr 2020'!Q26/100))),0)</f>
        <v>0</v>
      </c>
      <c r="F40" s="46">
        <f>IF(AND('SA Apr 2020'!R26&gt;0,'SA Apr 2020'!T26&gt;0),IF(($C$29*$C$30&lt;'SA Apr 2020'!T26),(0),($C$29*$C$30-'SA Apr 2020'!T26)*'SA Apr 2020'!U26/100),IF(AND('SA Apr 2020'!R26&gt;0,'SA Apr 2020'!T26=""),IF(($C$29*$C$30&lt;'SA Apr 2020'!R26+'SA Apr 2020'!P26),(0),(($C$29*$C$30-('SA Apr 2020'!R26+'SA Apr 2020'!P26))*'SA Apr 2020'!S26/100)),IF(AND('SA Apr 2020'!P26&gt;0,'SA Apr 2020'!R26=""&gt;0),IF(($C$29*$C$30&lt;'SA Apr 2020'!P26),(0),($C$29*$C$30-'SA Apr 2020'!P26)*'SA Apr 2020'!Q26/100),0)))</f>
        <v>0</v>
      </c>
      <c r="G40" s="50">
        <f>($C$29*$C$31)*'SA Apr 2020'!AF26/100</f>
        <v>281.99999999999994</v>
      </c>
      <c r="H40" s="51">
        <v>1</v>
      </c>
      <c r="I40" s="52">
        <f t="shared" ref="I40" si="48">SUM(C40:G40)</f>
        <v>1546.4583636363636</v>
      </c>
      <c r="J40" s="109">
        <f t="shared" ref="J40" si="49">(I40-C40)*4</f>
        <v>5872.727272727273</v>
      </c>
      <c r="K40" s="109">
        <f t="shared" ref="K40" si="50">I40*4</f>
        <v>6185.8334545454545</v>
      </c>
      <c r="L40" s="53">
        <f t="shared" ref="L40" si="51">K40*1.1</f>
        <v>6804.4168000000009</v>
      </c>
      <c r="M40" s="54">
        <f>'SA Apr 2020'!BB26</f>
        <v>0</v>
      </c>
      <c r="N40" s="54">
        <f>'SA Apr 2020'!BC26</f>
        <v>0</v>
      </c>
      <c r="O40" s="54">
        <f>'SA Apr 2020'!BD26</f>
        <v>0</v>
      </c>
      <c r="P40" s="54">
        <f>'SA Apr 2020'!BE26</f>
        <v>0</v>
      </c>
      <c r="Q40" s="110" t="str">
        <f t="shared" ref="Q40" si="52">IF(SUM(M40:P40)=0,"No discount",IF(M40&gt;0,"Guaranteed off bill",IF(N40&gt;0,"Guaranteed off usage",IF(O40&gt;0,"Pay-on-time off bill","Pay-on-time off usage"))))</f>
        <v>No discount</v>
      </c>
      <c r="R40" s="73" t="str">
        <f t="shared" ref="R40" si="53">IF(OR(A40="Origin Energy",A40="Red Energy",A40="Powershop"),"Inclusive","Exclusive")</f>
        <v>Exclusive</v>
      </c>
      <c r="S40" s="111">
        <f t="shared" ref="S40" si="54">IF(AND(Q40="Guaranteed off bill",R40="Inclusive"),((K40*1.1)-((K40*1.1)*M40/100))/1.1,IF(AND(Q40="Guaranteed off usage",R40="Inclusive"),((K40*1.1)-((J40*1.1)*N40/100))/1.1,IF(AND(Q40="Guaranteed off bill",R40="Exclusive"),K40-(K40*M40/100),IF(AND(Q40="Guaranteed off usage",R40="Exclusive"),K40-(J40*N40/100),IF(R40="Inclusive",((K40*1.1))/1.1,K40)))))</f>
        <v>6185.8334545454545</v>
      </c>
      <c r="T40" s="112">
        <f t="shared" ref="T40" si="55">IF(AND(Q40="Pay-on-time off bill",R40="Inclusive"),((S40*1.1)-((S40*1.1)*O40/100))/1.1,IF(AND(Q40="Pay-on-time off usage",R40="Inclusive"),((S40*1.1)-((J40*1.1)*P40/100))/1.1,IF(AND(Q40="Pay-on-time off bill",R40="Exclusive"),S40-(S40*O40/100),IF(AND(Q40="Pay-on-time off usage",R40="Exclusive"),S40-(J40*P40/100),IF(R40="Inclusive",((S40*1.1))/1.1,S40)))))</f>
        <v>6185.8334545454545</v>
      </c>
      <c r="U40" s="97">
        <f t="shared" ref="U40" si="56">S40*1.1</f>
        <v>6804.4168000000009</v>
      </c>
      <c r="V40" s="98">
        <f t="shared" ref="V40" si="57">T40*1.1</f>
        <v>6804.4168000000009</v>
      </c>
      <c r="W40" s="55">
        <f>'SA Apr 2020'!BL26</f>
        <v>0</v>
      </c>
      <c r="X40" s="56" t="str">
        <f>'SA Apr 2020'!BM26</f>
        <v>n</v>
      </c>
    </row>
    <row r="41" spans="1:53" x14ac:dyDescent="0.15">
      <c r="A41" s="70" t="str">
        <f>'SA Apr 2020'!K27</f>
        <v>Momentum Energy</v>
      </c>
      <c r="B41" s="49" t="str">
        <f>'SA Apr 2020'!L27</f>
        <v>SmilePower Flexi</v>
      </c>
      <c r="C41" s="46">
        <f>IF('SA Apr 2020'!BP27=0,91*'SA Apr 2020'!M27/100,(91*'SA Apr 2020'!M27/100)+'SA Apr 2020'!BP27/4)</f>
        <v>87.252454545454555</v>
      </c>
      <c r="D41" s="46">
        <f>IF('SA Apr 2020'!O27="",$C$29*$C$30*'SA Apr 2020'!N27/100,IF($C$29*$C$30&gt;='SA Apr 2020'!P27,('SA Apr 2020'!P27*'SA Apr 2020'!N27/100),($C$29*$C$30*'SA Apr 2020'!N27/100)))</f>
        <v>1042.9999999999998</v>
      </c>
      <c r="E41" s="46">
        <f>IF(AND('SA Apr 2020'!P27&gt;0,'SA Apr 2020'!R27&gt;0),IF($C$29*$C$30&lt;'SA Apr 2020'!P27,0,IF($C$29*$C$30&lt;=('SA Apr 2020'!R27+'SA Apr 2020'!P27),(($C$29*$C$30-'SA Apr 2020'!P27)*'SA Apr 2020'!Q27/100),(('SA Apr 2020'!R27)*'SA Apr 2020'!Q27/100))),0)</f>
        <v>0</v>
      </c>
      <c r="F41" s="46">
        <f>IF(AND('SA Apr 2020'!R27&gt;0,'SA Apr 2020'!T27&gt;0),IF(($C$29*$C$30&lt;'SA Apr 2020'!T27),(0),($C$29*$C$30-'SA Apr 2020'!T27)*'SA Apr 2020'!U27/100),IF(AND('SA Apr 2020'!R27&gt;0,'SA Apr 2020'!T27=""),IF(($C$29*$C$30&lt;'SA Apr 2020'!R27+'SA Apr 2020'!P27),(0),(($C$29*$C$30-('SA Apr 2020'!R27+'SA Apr 2020'!P27))*'SA Apr 2020'!S27/100)),IF(AND('SA Apr 2020'!P27&gt;0,'SA Apr 2020'!R27=""&gt;0),IF(($C$29*$C$30&lt;'SA Apr 2020'!P27),(0),($C$29*$C$30-'SA Apr 2020'!P27)*'SA Apr 2020'!Q27/100),0)))</f>
        <v>0</v>
      </c>
      <c r="G41" s="50">
        <f>($C$29*$C$31)*'SA Apr 2020'!AF27/100</f>
        <v>268.22727272727275</v>
      </c>
      <c r="H41" s="51">
        <v>0</v>
      </c>
      <c r="I41" s="52">
        <f t="shared" ref="I41:I48" si="58">SUM(C41:G41)</f>
        <v>1398.4797272727271</v>
      </c>
      <c r="J41" s="109">
        <f t="shared" ref="J41:J48" si="59">(I41-C41)*4</f>
        <v>5244.9090909090901</v>
      </c>
      <c r="K41" s="109">
        <f t="shared" ref="K41:K48" si="60">I41*4</f>
        <v>5593.9189090909085</v>
      </c>
      <c r="L41" s="53">
        <f t="shared" ref="L41:L48" si="61">K41*1.1</f>
        <v>6153.3108000000002</v>
      </c>
      <c r="M41" s="54">
        <f>'SA Apr 2020'!BB27</f>
        <v>0</v>
      </c>
      <c r="N41" s="54">
        <f>'SA Apr 2020'!BC27</f>
        <v>0</v>
      </c>
      <c r="O41" s="54">
        <f>'SA Apr 2020'!BD27</f>
        <v>0</v>
      </c>
      <c r="P41" s="54">
        <f>'SA Apr 2020'!BE27</f>
        <v>0</v>
      </c>
      <c r="Q41" s="110" t="str">
        <f>IF(SUM(M41:P41)=0,"No discount",IF(M41&gt;0,"Guaranteed off bill",IF(N41&gt;0,"Guaranteed off usage",IF(O41&gt;0,"Pay-on-time off bill","Pay-on-time off usage"))))</f>
        <v>No discount</v>
      </c>
      <c r="R41" s="73" t="str">
        <f t="shared" ref="R41:R48" si="62">IF(OR(A41="Origin Energy",A41="Red Energy",A41="Powershop"),"Inclusive","Exclusive")</f>
        <v>Exclusive</v>
      </c>
      <c r="S41" s="111">
        <f t="shared" ref="S41:S48" si="63">IF(AND(Q41="Guaranteed off bill",R41="Inclusive"),((K41*1.1)-((K41*1.1)*M41/100))/1.1,IF(AND(Q41="Guaranteed off usage",R41="Inclusive"),((K41*1.1)-((J41*1.1)*N41/100))/1.1,IF(AND(Q41="Guaranteed off bill",R41="Exclusive"),K41-(K41*M41/100),IF(AND(Q41="Guaranteed off usage",R41="Exclusive"),K41-(J41*N41/100),IF(R41="Inclusive",((K41*1.1))/1.1,K41)))))</f>
        <v>5593.9189090909085</v>
      </c>
      <c r="T41" s="112">
        <f t="shared" ref="T41:T48" si="64">IF(AND(Q41="Pay-on-time off bill",R41="Inclusive"),((S41*1.1)-((S41*1.1)*O41/100))/1.1,IF(AND(Q41="Pay-on-time off usage",R41="Inclusive"),((S41*1.1)-((J41*1.1)*P41/100))/1.1,IF(AND(Q41="Pay-on-time off bill",R41="Exclusive"),S41-(S41*O41/100),IF(AND(Q41="Pay-on-time off usage",R41="Exclusive"),S41-(J41*P41/100),IF(R41="Inclusive",((S41*1.1))/1.1,S41)))))</f>
        <v>5593.9189090909085</v>
      </c>
      <c r="U41" s="97">
        <f t="shared" ref="U41:V48" si="65">S41*1.1</f>
        <v>6153.3108000000002</v>
      </c>
      <c r="V41" s="98">
        <f t="shared" si="65"/>
        <v>6153.3108000000002</v>
      </c>
      <c r="W41" s="55">
        <f>'SA Apr 2020'!BL27</f>
        <v>0</v>
      </c>
      <c r="X41" s="56" t="str">
        <f>'SA Apr 2020'!BM27</f>
        <v>n</v>
      </c>
    </row>
    <row r="42" spans="1:53" x14ac:dyDescent="0.15">
      <c r="A42" s="70" t="str">
        <f>'SA Apr 2020'!K28</f>
        <v>Origin Energy</v>
      </c>
      <c r="B42" s="49" t="str">
        <f>'SA Apr 2020'!L28</f>
        <v xml:space="preserve">Flexi </v>
      </c>
      <c r="C42" s="46">
        <f>IF('SA Apr 2020'!BP28=0,91*'SA Apr 2020'!M28/100,(91*'SA Apr 2020'!M28/100)+'SA Apr 2020'!BP28/4)</f>
        <v>81.999272727272725</v>
      </c>
      <c r="D42" s="46">
        <f>IF('SA Apr 2020'!O28="",$C$29*$C$30*'SA Apr 2020'!N28/100,IF($C$29*$C$30&gt;='SA Apr 2020'!P28,('SA Apr 2020'!P28*'SA Apr 2020'!N28/100),($C$29*$C$30*'SA Apr 2020'!N28/100)))</f>
        <v>1393.3181818181818</v>
      </c>
      <c r="E42" s="46">
        <f>IF(AND('SA Apr 2020'!P28&gt;0,'SA Apr 2020'!R28&gt;0),IF($C$29*$C$30&lt;'SA Apr 2020'!P28,0,IF($C$29*$C$30&lt;=('SA Apr 2020'!R28+'SA Apr 2020'!P28),(($C$29*$C$30-'SA Apr 2020'!P28)*'SA Apr 2020'!Q28/100),(('SA Apr 2020'!R28)*'SA Apr 2020'!Q28/100))),0)</f>
        <v>0</v>
      </c>
      <c r="F42" s="46">
        <f>IF(AND('SA Apr 2020'!R28&gt;0,'SA Apr 2020'!T28&gt;0),IF(($C$29*$C$30&lt;'SA Apr 2020'!T28),(0),($C$29*$C$30-'SA Apr 2020'!T28)*'SA Apr 2020'!U28/100),IF(AND('SA Apr 2020'!R28&gt;0,'SA Apr 2020'!T28=""),IF(($C$29*$C$30&lt;'SA Apr 2020'!R28+'SA Apr 2020'!P28),(0),(($C$29*$C$30-('SA Apr 2020'!R28+'SA Apr 2020'!P28))*'SA Apr 2020'!S28/100)),IF(AND('SA Apr 2020'!P28&gt;0,'SA Apr 2020'!R28=""&gt;0),IF(($C$29*$C$30&lt;'SA Apr 2020'!P28),(0),($C$29*$C$30-'SA Apr 2020'!P28)*'SA Apr 2020'!Q28/100),0)))</f>
        <v>0</v>
      </c>
      <c r="G42" s="50">
        <f>($C$29*$C$31)*'SA Apr 2020'!AF28/100</f>
        <v>297.81818181818176</v>
      </c>
      <c r="H42" s="51">
        <v>0</v>
      </c>
      <c r="I42" s="52">
        <f t="shared" si="58"/>
        <v>1773.1356363636362</v>
      </c>
      <c r="J42" s="109">
        <f t="shared" si="59"/>
        <v>6764.545454545454</v>
      </c>
      <c r="K42" s="109">
        <f t="shared" si="60"/>
        <v>7092.5425454545448</v>
      </c>
      <c r="L42" s="53">
        <f t="shared" si="61"/>
        <v>7801.7968000000001</v>
      </c>
      <c r="M42" s="54">
        <f>'SA Apr 2020'!BB28</f>
        <v>14</v>
      </c>
      <c r="N42" s="54">
        <f>'SA Apr 2020'!BC28</f>
        <v>0</v>
      </c>
      <c r="O42" s="54">
        <f>'SA Apr 2020'!BD28</f>
        <v>0</v>
      </c>
      <c r="P42" s="54">
        <f>'SA Apr 2020'!BE28</f>
        <v>0</v>
      </c>
      <c r="Q42" s="110" t="str">
        <f t="shared" ref="Q42:Q48" si="66">IF(SUM(M42:P42)=0,"No discount",IF(M42&gt;0,"Guaranteed off bill",IF(N42&gt;0,"Guaranteed off usage",IF(O42&gt;0,"Pay-on-time off bill","Pay-on-time off usage"))))</f>
        <v>Guaranteed off bill</v>
      </c>
      <c r="R42" s="73" t="str">
        <f t="shared" si="62"/>
        <v>Inclusive</v>
      </c>
      <c r="S42" s="111">
        <f t="shared" si="63"/>
        <v>6099.586589090909</v>
      </c>
      <c r="T42" s="112">
        <f t="shared" si="64"/>
        <v>6099.586589090909</v>
      </c>
      <c r="U42" s="97">
        <f t="shared" si="65"/>
        <v>6709.5452480000004</v>
      </c>
      <c r="V42" s="98">
        <f t="shared" si="65"/>
        <v>6709.5452480000004</v>
      </c>
      <c r="W42" s="55">
        <f>'SA Apr 2020'!BL28</f>
        <v>12</v>
      </c>
      <c r="X42" s="56" t="str">
        <f>'SA Apr 2020'!BM28</f>
        <v>y</v>
      </c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</row>
    <row r="43" spans="1:53" x14ac:dyDescent="0.15">
      <c r="A43" s="70" t="str">
        <f>'SA Apr 2020'!K29</f>
        <v>Powerdirect</v>
      </c>
      <c r="B43" s="49" t="str">
        <f>'SA Apr 2020'!L29</f>
        <v>Discount Saver</v>
      </c>
      <c r="C43" s="46">
        <f>IF('SA Apr 2020'!BP29=0,91*'SA Apr 2020'!M29/100,(91*'SA Apr 2020'!M29/100)+'SA Apr 2020'!BP29/4)</f>
        <v>80.989999999999995</v>
      </c>
      <c r="D43" s="46">
        <f>IF('SA Apr 2020'!O29="",$C$29*$C$30*'SA Apr 2020'!N29/100,IF($C$29*$C$30&gt;='SA Apr 2020'!P29,('SA Apr 2020'!P29*'SA Apr 2020'!N29/100),($C$29*$C$30*'SA Apr 2020'!N29/100)))</f>
        <v>1393.6363636363635</v>
      </c>
      <c r="E43" s="46">
        <f>IF(AND('SA Apr 2020'!P29&gt;0,'SA Apr 2020'!R29&gt;0),IF($C$29*$C$30&lt;'SA Apr 2020'!P29,0,IF($C$29*$C$30&lt;=('SA Apr 2020'!R29+'SA Apr 2020'!P29),(($C$29*$C$30-'SA Apr 2020'!P29)*'SA Apr 2020'!Q29/100),(('SA Apr 2020'!R29)*'SA Apr 2020'!Q29/100))),0)</f>
        <v>0</v>
      </c>
      <c r="F43" s="46">
        <f>IF(AND('SA Apr 2020'!R29&gt;0,'SA Apr 2020'!T29&gt;0),IF(($C$29*$C$30&lt;'SA Apr 2020'!T29),(0),($C$29*$C$30-'SA Apr 2020'!T29)*'SA Apr 2020'!U29/100),IF(AND('SA Apr 2020'!R29&gt;0,'SA Apr 2020'!T29=""),IF(($C$29*$C$30&lt;'SA Apr 2020'!R29+'SA Apr 2020'!P29),(0),(($C$29*$C$30-('SA Apr 2020'!R29+'SA Apr 2020'!P29))*'SA Apr 2020'!S29/100)),IF(AND('SA Apr 2020'!P29&gt;0,'SA Apr 2020'!R29=""&gt;0),IF(($C$29*$C$30&lt;'SA Apr 2020'!P29),(0),($C$29*$C$30-'SA Apr 2020'!P29)*'SA Apr 2020'!Q29/100),0)))</f>
        <v>0</v>
      </c>
      <c r="G43" s="50">
        <f>($C$29*$C$31)*'SA Apr 2020'!AF29/100</f>
        <v>32.999998499999997</v>
      </c>
      <c r="H43" s="51">
        <v>0</v>
      </c>
      <c r="I43" s="52">
        <f t="shared" si="58"/>
        <v>1507.6263621363635</v>
      </c>
      <c r="J43" s="109">
        <f t="shared" si="59"/>
        <v>5706.5454485454538</v>
      </c>
      <c r="K43" s="109">
        <f t="shared" si="60"/>
        <v>6030.5054485454539</v>
      </c>
      <c r="L43" s="53">
        <f t="shared" si="61"/>
        <v>6633.5559933999994</v>
      </c>
      <c r="M43" s="54">
        <f>'SA Apr 2020'!BB29</f>
        <v>15</v>
      </c>
      <c r="N43" s="54">
        <f>'SA Apr 2020'!BC29</f>
        <v>0</v>
      </c>
      <c r="O43" s="54">
        <f>'SA Apr 2020'!BD29</f>
        <v>0</v>
      </c>
      <c r="P43" s="54">
        <f>'SA Apr 2020'!BE29</f>
        <v>0</v>
      </c>
      <c r="Q43" s="110" t="str">
        <f t="shared" si="66"/>
        <v>Guaranteed off bill</v>
      </c>
      <c r="R43" s="73" t="str">
        <f t="shared" si="62"/>
        <v>Exclusive</v>
      </c>
      <c r="S43" s="111">
        <f t="shared" si="63"/>
        <v>5125.9296312636361</v>
      </c>
      <c r="T43" s="112">
        <f t="shared" si="64"/>
        <v>5125.9296312636361</v>
      </c>
      <c r="U43" s="97">
        <f t="shared" si="65"/>
        <v>5638.5225943900004</v>
      </c>
      <c r="V43" s="98">
        <f t="shared" si="65"/>
        <v>5638.5225943900004</v>
      </c>
      <c r="W43" s="55">
        <f>'SA Apr 2020'!BL29</f>
        <v>0</v>
      </c>
      <c r="X43" s="56" t="str">
        <f>'SA Apr 2020'!BM29</f>
        <v>n</v>
      </c>
    </row>
    <row r="44" spans="1:53" x14ac:dyDescent="0.15">
      <c r="A44" s="70" t="str">
        <f>'SA Apr 2020'!K30</f>
        <v>Red Energy</v>
      </c>
      <c r="B44" s="49" t="str">
        <f>'SA Apr 2020'!L30</f>
        <v>Red Business Saver</v>
      </c>
      <c r="C44" s="46">
        <f>IF('SA Apr 2020'!BP30=0,91*'SA Apr 2020'!M30/100,(91*'SA Apr 2020'!M30/100)+'SA Apr 2020'!BP30/4)</f>
        <v>79.260999999999996</v>
      </c>
      <c r="D44" s="46">
        <f>IF('SA Apr 2020'!O30="",$C$29*$C$30*'SA Apr 2020'!N30/100,IF($C$29*$C$30&gt;='SA Apr 2020'!P30,('SA Apr 2020'!P30*'SA Apr 2020'!N30/100),($C$29*$C$30*'SA Apr 2020'!N30/100)))</f>
        <v>1228.4999999999998</v>
      </c>
      <c r="E44" s="46">
        <f>IF(AND('SA Apr 2020'!P30&gt;0,'SA Apr 2020'!R30&gt;0),IF($C$29*$C$30&lt;'SA Apr 2020'!P30,0,IF($C$29*$C$30&lt;=('SA Apr 2020'!R30+'SA Apr 2020'!P30),(($C$29*$C$30-'SA Apr 2020'!P30)*'SA Apr 2020'!Q30/100),(('SA Apr 2020'!R30)*'SA Apr 2020'!Q30/100))),0)</f>
        <v>0</v>
      </c>
      <c r="F44" s="46">
        <f>IF(AND('SA Apr 2020'!R30&gt;0,'SA Apr 2020'!T30&gt;0),IF(($C$29*$C$30&lt;'SA Apr 2020'!T30),(0),($C$29*$C$30-'SA Apr 2020'!T30)*'SA Apr 2020'!U30/100),IF(AND('SA Apr 2020'!R30&gt;0,'SA Apr 2020'!T30=""),IF(($C$29*$C$30&lt;'SA Apr 2020'!R30+'SA Apr 2020'!P30),(0),(($C$29*$C$30-('SA Apr 2020'!R30+'SA Apr 2020'!P30))*'SA Apr 2020'!S30/100)),IF(AND('SA Apr 2020'!P30&gt;0,'SA Apr 2020'!R30=""&gt;0),IF(($C$29*$C$30&lt;'SA Apr 2020'!P30),(0),($C$29*$C$30-'SA Apr 2020'!P30)*'SA Apr 2020'!Q30/100),0)))</f>
        <v>0</v>
      </c>
      <c r="G44" s="50">
        <f>($C$29*$C$31)*'SA Apr 2020'!AF30/100</f>
        <v>289.49999999999994</v>
      </c>
      <c r="H44" s="51">
        <v>0</v>
      </c>
      <c r="I44" s="52">
        <f t="shared" si="58"/>
        <v>1597.2609999999997</v>
      </c>
      <c r="J44" s="109">
        <f t="shared" si="59"/>
        <v>6071.9999999999991</v>
      </c>
      <c r="K44" s="109">
        <f t="shared" si="60"/>
        <v>6389.043999999999</v>
      </c>
      <c r="L44" s="53">
        <f t="shared" si="61"/>
        <v>7027.9483999999993</v>
      </c>
      <c r="M44" s="54">
        <f>'SA Apr 2020'!BB30</f>
        <v>0</v>
      </c>
      <c r="N44" s="54">
        <f>'SA Apr 2020'!BC30</f>
        <v>0</v>
      </c>
      <c r="O44" s="54">
        <f>'SA Apr 2020'!BD30</f>
        <v>0</v>
      </c>
      <c r="P44" s="54">
        <f>'SA Apr 2020'!BE30</f>
        <v>0</v>
      </c>
      <c r="Q44" s="110" t="str">
        <f t="shared" si="66"/>
        <v>No discount</v>
      </c>
      <c r="R44" s="73" t="str">
        <f t="shared" si="62"/>
        <v>Inclusive</v>
      </c>
      <c r="S44" s="111">
        <f t="shared" si="63"/>
        <v>6389.043999999999</v>
      </c>
      <c r="T44" s="112">
        <f t="shared" si="64"/>
        <v>6389.043999999999</v>
      </c>
      <c r="U44" s="97">
        <f t="shared" si="65"/>
        <v>7027.9483999999993</v>
      </c>
      <c r="V44" s="98">
        <f t="shared" si="65"/>
        <v>7027.9483999999993</v>
      </c>
      <c r="W44" s="55">
        <f>'SA Apr 2020'!BL30</f>
        <v>0</v>
      </c>
      <c r="X44" s="56" t="str">
        <f>'SA Apr 2020'!BM30</f>
        <v>n</v>
      </c>
    </row>
    <row r="45" spans="1:53" x14ac:dyDescent="0.15">
      <c r="A45" s="70" t="str">
        <f>'SA Apr 2020'!K31</f>
        <v>Simply Energy</v>
      </c>
      <c r="B45" s="49" t="str">
        <f>'SA Apr 2020'!L31</f>
        <v>Business Plus</v>
      </c>
      <c r="C45" s="46">
        <f>IF('SA Apr 2020'!BP31=0,91*'SA Apr 2020'!M31/100,(91*'SA Apr 2020'!M31/100)+'SA Apr 2020'!BP31/4)</f>
        <v>78.605800000000002</v>
      </c>
      <c r="D45" s="46">
        <f>IF('SA Apr 2020'!O31="",$C$29*$C$30*'SA Apr 2020'!N31/100,IF($C$29*$C$30&gt;='SA Apr 2020'!P31,('SA Apr 2020'!P31*'SA Apr 2020'!N31/100),($C$29*$C$30*'SA Apr 2020'!N31/100)))</f>
        <v>1228.4999999999998</v>
      </c>
      <c r="E45" s="46">
        <f>IF(AND('SA Apr 2020'!P31&gt;0,'SA Apr 2020'!R31&gt;0),IF($C$29*$C$30&lt;'SA Apr 2020'!P31,0,IF($C$29*$C$30&lt;=('SA Apr 2020'!R31+'SA Apr 2020'!P31),(($C$29*$C$30-'SA Apr 2020'!P31)*'SA Apr 2020'!Q31/100),(('SA Apr 2020'!R31)*'SA Apr 2020'!Q31/100))),0)</f>
        <v>0</v>
      </c>
      <c r="F45" s="46">
        <f>IF(AND('SA Apr 2020'!R31&gt;0,'SA Apr 2020'!T31&gt;0),IF(($C$29*$C$30&lt;'SA Apr 2020'!T31),(0),($C$29*$C$30-'SA Apr 2020'!T31)*'SA Apr 2020'!U31/100),IF(AND('SA Apr 2020'!R31&gt;0,'SA Apr 2020'!T31=""),IF(($C$29*$C$30&lt;'SA Apr 2020'!R31+'SA Apr 2020'!P31),(0),(($C$29*$C$30-('SA Apr 2020'!R31+'SA Apr 2020'!P31))*'SA Apr 2020'!S31/100)),IF(AND('SA Apr 2020'!P31&gt;0,'SA Apr 2020'!R31=""&gt;0),IF(($C$29*$C$30&lt;'SA Apr 2020'!P31),(0),($C$29*$C$30-'SA Apr 2020'!P31)*'SA Apr 2020'!Q31/100),0)))</f>
        <v>0</v>
      </c>
      <c r="G45" s="50">
        <f>($C$29*$C$31)*'SA Apr 2020'!AF31/100</f>
        <v>32.590909090909499</v>
      </c>
      <c r="H45" s="51">
        <v>0</v>
      </c>
      <c r="I45" s="52">
        <f t="shared" si="58"/>
        <v>1339.6967090909093</v>
      </c>
      <c r="J45" s="109">
        <f t="shared" si="59"/>
        <v>5044.3636363636369</v>
      </c>
      <c r="K45" s="109">
        <f t="shared" si="60"/>
        <v>5358.7868363636371</v>
      </c>
      <c r="L45" s="53">
        <f t="shared" si="61"/>
        <v>5894.6655200000014</v>
      </c>
      <c r="M45" s="54">
        <f>'SA Apr 2020'!BB31</f>
        <v>0</v>
      </c>
      <c r="N45" s="54">
        <f>'SA Apr 2020'!BC31</f>
        <v>0</v>
      </c>
      <c r="O45" s="54">
        <f>'SA Apr 2020'!BD31</f>
        <v>0</v>
      </c>
      <c r="P45" s="54">
        <f>'SA Apr 2020'!BE31</f>
        <v>0</v>
      </c>
      <c r="Q45" s="110" t="str">
        <f t="shared" si="66"/>
        <v>No discount</v>
      </c>
      <c r="R45" s="73" t="str">
        <f t="shared" si="62"/>
        <v>Exclusive</v>
      </c>
      <c r="S45" s="111">
        <f t="shared" si="63"/>
        <v>5358.7868363636371</v>
      </c>
      <c r="T45" s="112">
        <f t="shared" si="64"/>
        <v>5358.7868363636371</v>
      </c>
      <c r="U45" s="97">
        <f t="shared" si="65"/>
        <v>5894.6655200000014</v>
      </c>
      <c r="V45" s="98">
        <f t="shared" si="65"/>
        <v>5894.6655200000014</v>
      </c>
      <c r="W45" s="55">
        <f>'SA Apr 2020'!BL31</f>
        <v>0</v>
      </c>
      <c r="X45" s="56" t="str">
        <f>'SA Apr 2020'!BM31</f>
        <v>N</v>
      </c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</row>
    <row r="46" spans="1:53" x14ac:dyDescent="0.15">
      <c r="A46" s="70" t="str">
        <f>'SA Apr 2020'!K32</f>
        <v>Blue NRG</v>
      </c>
      <c r="B46" s="49" t="str">
        <f>'SA Apr 2020'!L32</f>
        <v>Blue Essential</v>
      </c>
      <c r="C46" s="46">
        <f>IF('SA Apr 2020'!BP32=0,91*'SA Apr 2020'!M32/100,(91*'SA Apr 2020'!M32/100)+'SA Apr 2020'!BP32/4)</f>
        <v>109.30754545454545</v>
      </c>
      <c r="D46" s="46">
        <f>IF('SA Apr 2020'!O32="",$C$29*$C$30*'SA Apr 2020'!N32/100,IF($C$29*$C$30&gt;='SA Apr 2020'!P32,('SA Apr 2020'!P32*'SA Apr 2020'!N32/100),($C$29*$C$30*'SA Apr 2020'!N32/100)))</f>
        <v>1287.681818181818</v>
      </c>
      <c r="E46" s="46">
        <f>IF(AND('SA Apr 2020'!P32&gt;0,'SA Apr 2020'!R32&gt;0),IF($C$29*$C$30&lt;'SA Apr 2020'!P32,0,IF($C$29*$C$30&lt;=('SA Apr 2020'!R32+'SA Apr 2020'!P32),(($C$29*$C$30-'SA Apr 2020'!P32)*'SA Apr 2020'!Q32/100),(('SA Apr 2020'!R32)*'SA Apr 2020'!Q32/100))),0)</f>
        <v>0</v>
      </c>
      <c r="F46" s="46">
        <f>IF(AND('SA Apr 2020'!R32&gt;0,'SA Apr 2020'!T32&gt;0),IF(($C$29*$C$30&lt;'SA Apr 2020'!T32),(0),($C$29*$C$30-'SA Apr 2020'!T32)*'SA Apr 2020'!U32/100),IF(AND('SA Apr 2020'!R32&gt;0,'SA Apr 2020'!T32=""),IF(($C$29*$C$30&lt;'SA Apr 2020'!R32+'SA Apr 2020'!P32),(0),(($C$29*$C$30-('SA Apr 2020'!R32+'SA Apr 2020'!P32))*'SA Apr 2020'!S32/100)),IF(AND('SA Apr 2020'!P32&gt;0,'SA Apr 2020'!R32=""&gt;0),IF(($C$29*$C$30&lt;'SA Apr 2020'!P32),(0),($C$29*$C$30-'SA Apr 2020'!P32)*'SA Apr 2020'!Q32/100),0)))</f>
        <v>0</v>
      </c>
      <c r="G46" s="50">
        <f>($C$29*$C$31)*'SA Apr 2020'!AF32/100</f>
        <v>408.75</v>
      </c>
      <c r="H46" s="51">
        <v>0</v>
      </c>
      <c r="I46" s="52">
        <f t="shared" si="58"/>
        <v>1805.7393636363636</v>
      </c>
      <c r="J46" s="109">
        <f t="shared" si="59"/>
        <v>6785.7272727272721</v>
      </c>
      <c r="K46" s="109">
        <f t="shared" si="60"/>
        <v>7222.9574545454543</v>
      </c>
      <c r="L46" s="53">
        <f t="shared" si="61"/>
        <v>7945.2532000000001</v>
      </c>
      <c r="M46" s="54">
        <f>'SA Apr 2020'!BB32</f>
        <v>0</v>
      </c>
      <c r="N46" s="54">
        <f>'SA Apr 2020'!BC32</f>
        <v>0</v>
      </c>
      <c r="O46" s="54">
        <f>'SA Apr 2020'!BD32</f>
        <v>0</v>
      </c>
      <c r="P46" s="54">
        <f>'SA Apr 2020'!BE32</f>
        <v>0</v>
      </c>
      <c r="Q46" s="110" t="str">
        <f t="shared" si="66"/>
        <v>No discount</v>
      </c>
      <c r="R46" s="73" t="str">
        <f t="shared" si="62"/>
        <v>Exclusive</v>
      </c>
      <c r="S46" s="111">
        <f t="shared" si="63"/>
        <v>7222.9574545454543</v>
      </c>
      <c r="T46" s="112">
        <f t="shared" si="64"/>
        <v>7222.9574545454543</v>
      </c>
      <c r="U46" s="97">
        <f t="shared" si="65"/>
        <v>7945.2532000000001</v>
      </c>
      <c r="V46" s="98">
        <f t="shared" si="65"/>
        <v>7945.2532000000001</v>
      </c>
      <c r="W46" s="55">
        <f>'SA Apr 2020'!BL32</f>
        <v>0</v>
      </c>
      <c r="X46" s="56" t="str">
        <f>'SA Apr 2020'!BM32</f>
        <v>n</v>
      </c>
    </row>
    <row r="47" spans="1:53" x14ac:dyDescent="0.15">
      <c r="A47" s="70" t="str">
        <f>'SA Apr 2020'!K33</f>
        <v>Powershop</v>
      </c>
      <c r="B47" s="49" t="str">
        <f>'SA Apr 2020'!L33</f>
        <v>Shopper with Mega Pack</v>
      </c>
      <c r="C47" s="46">
        <f>IF('SA Apr 2020'!BP33=0,91*'SA Apr 2020'!M33/100,(91*'SA Apr 2020'!M33/100)+'SA Apr 2020'!BP33/4)</f>
        <v>100.71880000000002</v>
      </c>
      <c r="D47" s="46">
        <f>IF('SA Apr 2020'!O33="",$C$29*$C$30*'SA Apr 2020'!N33/100,IF($C$29*$C$30&gt;='SA Apr 2020'!P33,('SA Apr 2020'!P33*'SA Apr 2020'!N33/100),($C$29*$C$30*'SA Apr 2020'!N33/100)))</f>
        <v>1298.1500000000001</v>
      </c>
      <c r="E47" s="46">
        <f>IF(AND('SA Apr 2020'!P33&gt;0,'SA Apr 2020'!R33&gt;0),IF($C$29*$C$30&lt;'SA Apr 2020'!P33,0,IF($C$29*$C$30&lt;=('SA Apr 2020'!R33+'SA Apr 2020'!P33),(($C$29*$C$30-'SA Apr 2020'!P33)*'SA Apr 2020'!Q33/100),(('SA Apr 2020'!R33)*'SA Apr 2020'!Q33/100))),0)</f>
        <v>0</v>
      </c>
      <c r="F47" s="46">
        <f>IF(AND('SA Apr 2020'!R33&gt;0,'SA Apr 2020'!T33&gt;0),IF(($C$29*$C$30&lt;'SA Apr 2020'!T33),(0),($C$29*$C$30-'SA Apr 2020'!T33)*'SA Apr 2020'!U33/100),IF(AND('SA Apr 2020'!R33&gt;0,'SA Apr 2020'!T33=""),IF(($C$29*$C$30&lt;'SA Apr 2020'!R33+'SA Apr 2020'!P33),(0),(($C$29*$C$30-('SA Apr 2020'!R33+'SA Apr 2020'!P33))*'SA Apr 2020'!S33/100)),IF(AND('SA Apr 2020'!P33&gt;0,'SA Apr 2020'!R33=""&gt;0),IF(($C$29*$C$30&lt;'SA Apr 2020'!P33),(0),($C$29*$C$30-'SA Apr 2020'!P33)*'SA Apr 2020'!Q33/100),0)))</f>
        <v>0</v>
      </c>
      <c r="G47" s="50">
        <f>($C$29*$C$31)*'SA Apr 2020'!AF33/100</f>
        <v>36.818181818182495</v>
      </c>
      <c r="H47" s="51">
        <v>0</v>
      </c>
      <c r="I47" s="52">
        <f t="shared" si="58"/>
        <v>1435.6869818181826</v>
      </c>
      <c r="J47" s="109">
        <f t="shared" si="59"/>
        <v>5339.8727272727301</v>
      </c>
      <c r="K47" s="109">
        <f t="shared" si="60"/>
        <v>5742.7479272727305</v>
      </c>
      <c r="L47" s="53">
        <f t="shared" si="61"/>
        <v>6317.0227200000045</v>
      </c>
      <c r="M47" s="54">
        <f>'SA Apr 2020'!BB33</f>
        <v>0</v>
      </c>
      <c r="N47" s="54">
        <f>'SA Apr 2020'!BC33</f>
        <v>0</v>
      </c>
      <c r="O47" s="54">
        <f>'SA Apr 2020'!BD33</f>
        <v>12</v>
      </c>
      <c r="P47" s="54">
        <f>'SA Apr 2020'!BE33</f>
        <v>0</v>
      </c>
      <c r="Q47" s="110" t="str">
        <f t="shared" si="66"/>
        <v>Pay-on-time off bill</v>
      </c>
      <c r="R47" s="73" t="str">
        <f t="shared" si="62"/>
        <v>Inclusive</v>
      </c>
      <c r="S47" s="111">
        <f t="shared" si="63"/>
        <v>5742.7479272727305</v>
      </c>
      <c r="T47" s="112">
        <f t="shared" si="64"/>
        <v>5053.6181760000027</v>
      </c>
      <c r="U47" s="97">
        <f t="shared" si="65"/>
        <v>6317.0227200000045</v>
      </c>
      <c r="V47" s="98">
        <f t="shared" si="65"/>
        <v>5558.9799936000036</v>
      </c>
      <c r="W47" s="55">
        <f>'SA Apr 2020'!BL33</f>
        <v>0</v>
      </c>
      <c r="X47" s="56" t="str">
        <f>'SA Apr 2020'!BM33</f>
        <v>n</v>
      </c>
    </row>
    <row r="48" spans="1:53" x14ac:dyDescent="0.15">
      <c r="A48" s="70" t="str">
        <f>'SA Apr 2020'!K34</f>
        <v>Amaysim</v>
      </c>
      <c r="B48" s="49" t="str">
        <f>'SA Apr 2020'!L34</f>
        <v>Business as you go</v>
      </c>
      <c r="C48" s="46">
        <f>IF('SA Apr 2020'!BP34=0,91*'SA Apr 2020'!M34/100,(91*'SA Apr 2020'!M34/100)+'SA Apr 2020'!BP34/4)</f>
        <v>58.558499999999995</v>
      </c>
      <c r="D48" s="46">
        <f>IF('SA Apr 2020'!O34="",$C$29*$C$30*'SA Apr 2020'!N34/100,IF($C$29*$C$30&gt;='SA Apr 2020'!P34,('SA Apr 2020'!P34*'SA Apr 2020'!N34/100),($C$29*$C$30*'SA Apr 2020'!N34/100)))</f>
        <v>1255.8000000000002</v>
      </c>
      <c r="E48" s="46">
        <f>IF(AND('SA Apr 2020'!P34&gt;0,'SA Apr 2020'!R34&gt;0),IF($C$29*$C$30&lt;'SA Apr 2020'!P34,0,IF($C$29*$C$30&lt;=('SA Apr 2020'!R34+'SA Apr 2020'!P34),(($C$29*$C$30-'SA Apr 2020'!P34)*'SA Apr 2020'!Q34/100),(('SA Apr 2020'!R34)*'SA Apr 2020'!Q34/100))),0)</f>
        <v>0</v>
      </c>
      <c r="F48" s="46">
        <f>IF(AND('SA Apr 2020'!R34&gt;0,'SA Apr 2020'!T34&gt;0),IF(($C$29*$C$30&lt;'SA Apr 2020'!T34),(0),($C$29*$C$30-'SA Apr 2020'!T34)*'SA Apr 2020'!U34/100),IF(AND('SA Apr 2020'!R34&gt;0,'SA Apr 2020'!T34=""),IF(($C$29*$C$30&lt;'SA Apr 2020'!R34+'SA Apr 2020'!P34),(0),(($C$29*$C$30-('SA Apr 2020'!R34+'SA Apr 2020'!P34))*'SA Apr 2020'!S34/100)),IF(AND('SA Apr 2020'!P34&gt;0,'SA Apr 2020'!R34=""&gt;0),IF(($C$29*$C$30&lt;'SA Apr 2020'!P34),(0),($C$29*$C$30-'SA Apr 2020'!P34)*'SA Apr 2020'!Q34/100),0)))</f>
        <v>0</v>
      </c>
      <c r="G48" s="50">
        <f>($C$29*$C$31)*'SA Apr 2020'!AF34/100</f>
        <v>53.55</v>
      </c>
      <c r="H48" s="51">
        <v>0</v>
      </c>
      <c r="I48" s="52">
        <f t="shared" si="58"/>
        <v>1367.9085000000002</v>
      </c>
      <c r="J48" s="111">
        <f t="shared" si="59"/>
        <v>5237.4000000000005</v>
      </c>
      <c r="K48" s="109">
        <f t="shared" si="60"/>
        <v>5471.6340000000009</v>
      </c>
      <c r="L48" s="53">
        <f t="shared" si="61"/>
        <v>6018.7974000000013</v>
      </c>
      <c r="M48" s="54">
        <f>'SA Apr 2020'!BB34</f>
        <v>0</v>
      </c>
      <c r="N48" s="54">
        <f>'SA Apr 2020'!BC34</f>
        <v>0</v>
      </c>
      <c r="O48" s="54">
        <f>'SA Apr 2020'!BD34</f>
        <v>0</v>
      </c>
      <c r="P48" s="54">
        <f>'SA Apr 2020'!BE34</f>
        <v>0</v>
      </c>
      <c r="Q48" s="110" t="str">
        <f t="shared" si="66"/>
        <v>No discount</v>
      </c>
      <c r="R48" s="73" t="str">
        <f t="shared" si="62"/>
        <v>Exclusive</v>
      </c>
      <c r="S48" s="111">
        <f t="shared" si="63"/>
        <v>5471.6340000000009</v>
      </c>
      <c r="T48" s="112">
        <f t="shared" si="64"/>
        <v>5471.6340000000009</v>
      </c>
      <c r="U48" s="97">
        <f t="shared" si="65"/>
        <v>6018.7974000000013</v>
      </c>
      <c r="V48" s="268">
        <f t="shared" si="65"/>
        <v>6018.7974000000013</v>
      </c>
      <c r="W48" s="55">
        <f>'SA Apr 2020'!BL34</f>
        <v>0</v>
      </c>
      <c r="X48" s="56" t="str">
        <f>'SA Apr 2020'!BM34</f>
        <v>n</v>
      </c>
    </row>
    <row r="49" spans="1:53" x14ac:dyDescent="0.15">
      <c r="A49" s="70" t="str">
        <f>'SA Apr 2020'!K35</f>
        <v>Energy Locals</v>
      </c>
      <c r="B49" s="49" t="str">
        <f>'SA Apr 2020'!L35</f>
        <v>Business Member</v>
      </c>
      <c r="C49" s="46">
        <f>IF('SA Apr 2020'!BP35=0,91*'SA Apr 2020'!M35/100,(91*'SA Apr 2020'!M35/100)+'SA Apr 2020'!BP35/4)</f>
        <v>155.52249999999998</v>
      </c>
      <c r="D49" s="46">
        <f>IF('SA Apr 2020'!O35="",$C$29*$C$30*'SA Apr 2020'!N35/100,IF($C$29*$C$30&gt;='SA Apr 2020'!P35,('SA Apr 2020'!P35*'SA Apr 2020'!N35/100),($C$29*$C$30*'SA Apr 2020'!N35/100)))</f>
        <v>1161.3636363636363</v>
      </c>
      <c r="E49" s="46">
        <f>IF(AND('SA Apr 2020'!P35&gt;0,'SA Apr 2020'!R35&gt;0),IF($C$29*$C$30&lt;'SA Apr 2020'!P35,0,IF($C$29*$C$30&lt;=('SA Apr 2020'!R35+'SA Apr 2020'!P35),(($C$29*$C$30-'SA Apr 2020'!P35)*'SA Apr 2020'!Q35/100),(('SA Apr 2020'!R35)*'SA Apr 2020'!Q35/100))),0)</f>
        <v>0</v>
      </c>
      <c r="F49" s="46">
        <f>IF(AND('SA Apr 2020'!R35&gt;0,'SA Apr 2020'!T35&gt;0),IF(($C$29*$C$30&lt;'SA Apr 2020'!T35),(0),($C$29*$C$30-'SA Apr 2020'!T35)*'SA Apr 2020'!U35/100),IF(AND('SA Apr 2020'!R35&gt;0,'SA Apr 2020'!T35=""),IF(($C$29*$C$30&lt;'SA Apr 2020'!R35+'SA Apr 2020'!P35),(0),(($C$29*$C$30-('SA Apr 2020'!R35+'SA Apr 2020'!P35))*'SA Apr 2020'!S35/100)),IF(AND('SA Apr 2020'!P35&gt;0,'SA Apr 2020'!R35=""&gt;0),IF(($C$29*$C$30&lt;'SA Apr 2020'!P35),(0),($C$29*$C$30-'SA Apr 2020'!P35)*'SA Apr 2020'!Q35/100),0)))</f>
        <v>0</v>
      </c>
      <c r="G49" s="50">
        <f>($C$29*$C$31)*'SA Apr 2020'!AF35/100</f>
        <v>374.99999999999994</v>
      </c>
      <c r="H49" s="51">
        <v>1</v>
      </c>
      <c r="I49" s="52">
        <f t="shared" ref="I49:I50" si="67">SUM(C49:G49)</f>
        <v>1691.8861363636363</v>
      </c>
      <c r="J49" s="111">
        <f t="shared" ref="J49:J50" si="68">(I49-C49)*4</f>
        <v>6145.454545454545</v>
      </c>
      <c r="K49" s="109">
        <f t="shared" ref="K49:K50" si="69">I49*4</f>
        <v>6767.5445454545452</v>
      </c>
      <c r="L49" s="53">
        <f t="shared" ref="L49:L50" si="70">K49*1.1</f>
        <v>7444.299</v>
      </c>
      <c r="M49" s="54">
        <f>'SA Apr 2020'!BB35</f>
        <v>0</v>
      </c>
      <c r="N49" s="54">
        <f>'SA Apr 2020'!BC35</f>
        <v>0</v>
      </c>
      <c r="O49" s="54">
        <f>'SA Apr 2020'!BD35</f>
        <v>0</v>
      </c>
      <c r="P49" s="54">
        <f>'SA Apr 2020'!BE35</f>
        <v>0</v>
      </c>
      <c r="Q49" s="110" t="str">
        <f t="shared" ref="Q49:Q50" si="71">IF(SUM(M49:P49)=0,"No discount",IF(M49&gt;0,"Guaranteed off bill",IF(N49&gt;0,"Guaranteed off usage",IF(O49&gt;0,"Pay-on-time off bill","Pay-on-time off usage"))))</f>
        <v>No discount</v>
      </c>
      <c r="R49" s="73" t="str">
        <f t="shared" ref="R49:R50" si="72">IF(OR(A49="Origin Energy",A49="Red Energy",A49="Powershop"),"Inclusive","Exclusive")</f>
        <v>Exclusive</v>
      </c>
      <c r="S49" s="111">
        <f t="shared" ref="S49:S50" si="73">IF(AND(Q49="Guaranteed off bill",R49="Inclusive"),((K49*1.1)-((K49*1.1)*M49/100))/1.1,IF(AND(Q49="Guaranteed off usage",R49="Inclusive"),((K49*1.1)-((J49*1.1)*N49/100))/1.1,IF(AND(Q49="Guaranteed off bill",R49="Exclusive"),K49-(K49*M49/100),IF(AND(Q49="Guaranteed off usage",R49="Exclusive"),K49-(J49*N49/100),IF(R49="Inclusive",((K49*1.1))/1.1,K49)))))</f>
        <v>6767.5445454545452</v>
      </c>
      <c r="T49" s="112">
        <f t="shared" ref="T49:T50" si="74">IF(AND(Q49="Pay-on-time off bill",R49="Inclusive"),((S49*1.1)-((S49*1.1)*O49/100))/1.1,IF(AND(Q49="Pay-on-time off usage",R49="Inclusive"),((S49*1.1)-((J49*1.1)*P49/100))/1.1,IF(AND(Q49="Pay-on-time off bill",R49="Exclusive"),S49-(S49*O49/100),IF(AND(Q49="Pay-on-time off usage",R49="Exclusive"),S49-(J49*P49/100),IF(R49="Inclusive",((S49*1.1))/1.1,S49)))))</f>
        <v>6767.5445454545452</v>
      </c>
      <c r="U49" s="97">
        <f t="shared" ref="U49:U50" si="75">S49*1.1</f>
        <v>7444.299</v>
      </c>
      <c r="V49" s="268">
        <f t="shared" ref="V49:V50" si="76">T49*1.1</f>
        <v>7444.299</v>
      </c>
      <c r="W49" s="55">
        <f>'SA Apr 2020'!BL35</f>
        <v>0</v>
      </c>
      <c r="X49" s="56" t="str">
        <f>'SA Apr 2020'!BM35</f>
        <v>n</v>
      </c>
    </row>
    <row r="50" spans="1:53" ht="15" thickBot="1" x14ac:dyDescent="0.2">
      <c r="A50" s="71" t="str">
        <f>'SA Apr 2020'!K36</f>
        <v>Future X Power</v>
      </c>
      <c r="B50" s="57" t="str">
        <f>'SA Apr 2020'!L36</f>
        <v>Flexi Saver</v>
      </c>
      <c r="C50" s="58">
        <f>IF('SA Apr 2020'!BP36=0,91*'SA Apr 2020'!M36/100,(91*'SA Apr 2020'!M36/100)+'SA Apr 2020'!BP36/4)</f>
        <v>80.989999999999995</v>
      </c>
      <c r="D50" s="58">
        <f>IF('SA Apr 2020'!O36="",$C$29*$C$30*'SA Apr 2020'!N36/100,IF($C$29*$C$30&gt;='SA Apr 2020'!P36,('SA Apr 2020'!P36*'SA Apr 2020'!N36/100),($C$29*$C$30*'SA Apr 2020'!N36/100)))</f>
        <v>1393.6363636363635</v>
      </c>
      <c r="E50" s="58">
        <f>IF(AND('SA Apr 2020'!P36&gt;0,'SA Apr 2020'!R36&gt;0),IF($C$29*$C$30&lt;'SA Apr 2020'!P36,0,IF($C$29*$C$30&lt;=('SA Apr 2020'!R36+'SA Apr 2020'!P36),(($C$29*$C$30-'SA Apr 2020'!P36)*'SA Apr 2020'!Q36/100),(('SA Apr 2020'!R36)*'SA Apr 2020'!Q36/100))),0)</f>
        <v>0</v>
      </c>
      <c r="F50" s="58">
        <f>IF(AND('SA Apr 2020'!R36&gt;0,'SA Apr 2020'!T36&gt;0),IF(($C$29*$C$30&lt;'SA Apr 2020'!T36),(0),($C$29*$C$30-'SA Apr 2020'!T36)*'SA Apr 2020'!U36/100),IF(AND('SA Apr 2020'!R36&gt;0,'SA Apr 2020'!T36=""),IF(($C$29*$C$30&lt;'SA Apr 2020'!R36+'SA Apr 2020'!P36),(0),(($C$29*$C$30-('SA Apr 2020'!R36+'SA Apr 2020'!P36))*'SA Apr 2020'!S36/100)),IF(AND('SA Apr 2020'!P36&gt;0,'SA Apr 2020'!R36=""&gt;0),IF(($C$29*$C$30&lt;'SA Apr 2020'!P36),(0),($C$29*$C$30-'SA Apr 2020'!P36)*'SA Apr 2020'!Q36/100),0)))</f>
        <v>0</v>
      </c>
      <c r="G50" s="59">
        <f>($C$29*$C$31)*'SA Apr 2020'!AF36/100</f>
        <v>32.999998499999997</v>
      </c>
      <c r="H50" s="60">
        <v>2</v>
      </c>
      <c r="I50" s="61">
        <f t="shared" si="67"/>
        <v>1507.6263621363635</v>
      </c>
      <c r="J50" s="113">
        <f t="shared" si="68"/>
        <v>5706.5454485454538</v>
      </c>
      <c r="K50" s="116">
        <f t="shared" si="69"/>
        <v>6030.5054485454539</v>
      </c>
      <c r="L50" s="62">
        <f t="shared" si="70"/>
        <v>6633.5559933999994</v>
      </c>
      <c r="M50" s="63">
        <f>'SA Apr 2020'!BB36</f>
        <v>0</v>
      </c>
      <c r="N50" s="63">
        <f>'SA Apr 2020'!BC36</f>
        <v>0</v>
      </c>
      <c r="O50" s="63">
        <f>'SA Apr 2020'!BD36</f>
        <v>0</v>
      </c>
      <c r="P50" s="63">
        <f>'SA Apr 2020'!BE36</f>
        <v>15</v>
      </c>
      <c r="Q50" s="115" t="str">
        <f t="shared" si="71"/>
        <v>Pay-on-time off usage</v>
      </c>
      <c r="R50" s="72" t="str">
        <f t="shared" si="72"/>
        <v>Exclusive</v>
      </c>
      <c r="S50" s="113">
        <f t="shared" si="73"/>
        <v>6030.5054485454539</v>
      </c>
      <c r="T50" s="114">
        <f t="shared" si="74"/>
        <v>5174.5236312636362</v>
      </c>
      <c r="U50" s="99">
        <f t="shared" si="75"/>
        <v>6633.5559933999994</v>
      </c>
      <c r="V50" s="101">
        <f t="shared" si="76"/>
        <v>5691.9759943899999</v>
      </c>
      <c r="W50" s="64">
        <f>'SA Apr 2020'!BL36</f>
        <v>0</v>
      </c>
      <c r="X50" s="65" t="str">
        <f>'SA Apr 2020'!BM36</f>
        <v>n</v>
      </c>
    </row>
    <row r="52" spans="1:53" ht="15" thickBot="1" x14ac:dyDescent="0.2">
      <c r="F52" s="286"/>
      <c r="X52" s="286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</row>
    <row r="53" spans="1:53" x14ac:dyDescent="0.15">
      <c r="A53" s="36" t="s">
        <v>176</v>
      </c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9"/>
    </row>
    <row r="54" spans="1:53" x14ac:dyDescent="0.15">
      <c r="A54" s="40" t="s">
        <v>197</v>
      </c>
      <c r="B54" s="38"/>
      <c r="C54" s="47">
        <v>5000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41"/>
    </row>
    <row r="55" spans="1:53" x14ac:dyDescent="0.15">
      <c r="A55" s="40" t="s">
        <v>85</v>
      </c>
      <c r="B55" s="38"/>
      <c r="C55" s="48">
        <v>0.7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41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</row>
    <row r="56" spans="1:53" x14ac:dyDescent="0.15">
      <c r="A56" s="40" t="s">
        <v>172</v>
      </c>
      <c r="B56" s="38"/>
      <c r="C56" s="48">
        <v>0.3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41"/>
    </row>
    <row r="57" spans="1:53" x14ac:dyDescent="0.15">
      <c r="A57" s="40"/>
      <c r="B57" s="38"/>
      <c r="C57" s="38"/>
      <c r="D57" s="38"/>
      <c r="E57" s="38"/>
      <c r="F57" s="49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41"/>
    </row>
    <row r="58" spans="1:53" ht="75" x14ac:dyDescent="0.15">
      <c r="A58" s="271" t="s">
        <v>216</v>
      </c>
      <c r="B58" s="272" t="s">
        <v>198</v>
      </c>
      <c r="C58" s="274" t="s">
        <v>199</v>
      </c>
      <c r="D58" s="274" t="s">
        <v>200</v>
      </c>
      <c r="E58" s="274" t="s">
        <v>201</v>
      </c>
      <c r="F58" s="274" t="s">
        <v>202</v>
      </c>
      <c r="G58" s="274" t="s">
        <v>164</v>
      </c>
      <c r="H58" s="274" t="s">
        <v>173</v>
      </c>
      <c r="I58" s="274" t="s">
        <v>165</v>
      </c>
      <c r="J58" s="275" t="s">
        <v>544</v>
      </c>
      <c r="K58" s="276" t="s">
        <v>166</v>
      </c>
      <c r="L58" s="277" t="s">
        <v>545</v>
      </c>
      <c r="M58" s="278" t="s">
        <v>167</v>
      </c>
      <c r="N58" s="278" t="s">
        <v>168</v>
      </c>
      <c r="O58" s="278" t="s">
        <v>169</v>
      </c>
      <c r="P58" s="278" t="s">
        <v>170</v>
      </c>
      <c r="Q58" s="279" t="s">
        <v>541</v>
      </c>
      <c r="R58" s="279" t="s">
        <v>542</v>
      </c>
      <c r="S58" s="280" t="s">
        <v>546</v>
      </c>
      <c r="T58" s="280" t="s">
        <v>547</v>
      </c>
      <c r="U58" s="281" t="s">
        <v>227</v>
      </c>
      <c r="V58" s="281" t="s">
        <v>272</v>
      </c>
      <c r="W58" s="278" t="s">
        <v>82</v>
      </c>
      <c r="X58" s="282" t="s">
        <v>83</v>
      </c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</row>
    <row r="59" spans="1:53" x14ac:dyDescent="0.15">
      <c r="A59" s="70" t="str">
        <f>'SA Apr 2020'!K37</f>
        <v>AGL</v>
      </c>
      <c r="B59" s="49" t="str">
        <f>'SA Apr 2020'!L37</f>
        <v>Business Essentials Saver</v>
      </c>
      <c r="C59" s="46">
        <f>IF('SA Apr 2020'!BP37=0,91*'SA Apr 2020'!M37/100,(91*'SA Apr 2020'!M37/100)+'SA Apr 2020'!BP37/4)</f>
        <v>69.648090909090911</v>
      </c>
      <c r="D59" s="46">
        <f>IF('SA Apr 2020'!O37="",$C$54*$C$55*'SA Apr 2020'!N37/100,IF($C$54*$C$55&gt;='SA Apr 2020'!P37,('SA Apr 2020'!P37*'SA Apr 2020'!N37/100),($C$54*$C$55*'SA Apr 2020'!N37/100)))</f>
        <v>1291.181818181818</v>
      </c>
      <c r="E59" s="46">
        <f>IF(AND('SA Apr 2020'!P37&gt;0,'SA Apr 2020'!R37&gt;0),IF($C$54*$C$55&lt;'SA Apr 2020'!P37,0,IF($C$54*$C$55&lt;=('SA Apr 2020'!R37+'SA Apr 2020'!P37),(($C$54*$C$55-'SA Apr 2020'!P37)*'SA Apr 2020'!Q37/100),(('SA Apr 2020'!R37)*'SA Apr 2020'!Q37/100))),0)</f>
        <v>0</v>
      </c>
      <c r="F59" s="46">
        <f>IF(AND('SA Apr 2020'!Q20&gt;0,'SA Apr 2020'!S20&gt;0),IF($C$54*$C$55&lt;('SA Apr 2020'!R20+'SA Apr 2020'!P20),0,IF($C$54*$C$55&lt;=('SA Apr 2020'!T20+'SA Apr 2020'!R20+'SA Apr 2020'!P20),(($C$54*$C$55-('SA Apr 2020'!R20+'SA Apr 2020'!P20))*'SA Apr 2020'!S20/100),('SA Apr 2020'!T20*'SA Apr 2020'!S20/100))),0)</f>
        <v>0</v>
      </c>
      <c r="G59" s="50">
        <f>IF(AND('SA Apr 2020'!R37&gt;0,'SA Apr 2020'!T37&gt;0),IF(($C$54*$C$55&lt;'SA Apr 2020'!T37),(0),($C$54*$C$55-'SA Apr 2020'!T37)*'SA Apr 2020'!U37/100),IF(AND('SA Apr 2020'!R37&gt;0,'SA Apr 2020'!T37=""),IF(($C$54*$C$55&lt;'SA Apr 2020'!R37+'SA Apr 2020'!P37),(0),(($C$54*$C$55-('SA Apr 2020'!R37+'SA Apr 2020'!P37))*'SA Apr 2020'!S37/100)),IF(AND('SA Apr 2020'!P37&gt;0,'SA Apr 2020'!R37=""&gt;0),IF(($C$54*$C$55&lt;'SA Apr 2020'!P37),(0),($C$54*$C$55-'SA Apr 2020'!P37)*'SA Apr 2020'!Q37/100),0)))</f>
        <v>0</v>
      </c>
      <c r="H59" s="51">
        <f>($C$54*$C$56)*'SA Apr 2020'!W37/100</f>
        <v>359.99999864999995</v>
      </c>
      <c r="I59" s="52">
        <f>SUM(C59:H59)</f>
        <v>1720.829907740909</v>
      </c>
      <c r="J59" s="109">
        <f>(I59-C59)*4</f>
        <v>6604.7272673272728</v>
      </c>
      <c r="K59" s="109">
        <f t="shared" ref="K59:K74" si="77">I59*4</f>
        <v>6883.319630963636</v>
      </c>
      <c r="L59" s="53">
        <f t="shared" ref="L59:L74" si="78">K59*1.1</f>
        <v>7571.6515940600002</v>
      </c>
      <c r="M59" s="54">
        <f>'SA Apr 2020'!BB37</f>
        <v>0</v>
      </c>
      <c r="N59" s="54">
        <f>'SA Apr 2020'!BC37</f>
        <v>0</v>
      </c>
      <c r="O59" s="54">
        <f>'SA Apr 2020'!BD37</f>
        <v>0</v>
      </c>
      <c r="P59" s="54">
        <f>'SA Apr 2020'!BE37</f>
        <v>0</v>
      </c>
      <c r="Q59" s="110" t="str">
        <f t="shared" ref="Q59:Q65" si="79">IF(SUM(M59:P59)=0,"No discount",IF(M59&gt;0,"Guaranteed off bill",IF(N59&gt;0,"Guaranteed off usage",IF(O59&gt;0,"Pay-on-time off bill","Pay-on-time off usage"))))</f>
        <v>No discount</v>
      </c>
      <c r="R59" s="73" t="str">
        <f t="shared" ref="R59:R74" si="80">IF(OR(A59="Origin Energy",A59="Red Energy",A59="Powershop"),"Inclusive","Exclusive")</f>
        <v>Exclusive</v>
      </c>
      <c r="S59" s="111">
        <f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6883.319630963636</v>
      </c>
      <c r="T59" s="112">
        <f>IF(AND(Q59="Pay-on-time off bill",R59="Inclusive"),((S59*1.1)-((S59*1.1)*O59/100))/1.1,IF(AND(Q59="Pay-on-time off usage",R59="Inclusive"),((S59*1.1)-((J59*1.1)*P59/100))/1.1,IF(AND(Q59="Pay-on-time off bill",R59="Exclusive"),S59-(S59*O59/100),IF(AND(Q59="Pay-on-time off usage",R59="Exclusive"),S59-(J59*P59/100),IF(R59="Inclusive",((S59*1.1))/1.1,S59)))))</f>
        <v>6883.319630963636</v>
      </c>
      <c r="U59" s="97">
        <f>S59*1.1</f>
        <v>7571.6515940600002</v>
      </c>
      <c r="V59" s="98">
        <f>T59*1.1</f>
        <v>7571.6515940600002</v>
      </c>
      <c r="W59" s="55">
        <f>'SA Apr 2020'!BL37</f>
        <v>0</v>
      </c>
      <c r="X59" s="56" t="str">
        <f>'SA Apr 2020'!BM37</f>
        <v>n</v>
      </c>
    </row>
    <row r="60" spans="1:53" x14ac:dyDescent="0.15">
      <c r="A60" s="70" t="str">
        <f>'SA Apr 2020'!K38</f>
        <v>Alinta Energy</v>
      </c>
      <c r="B60" s="49" t="str">
        <f>'SA Apr 2020'!L38</f>
        <v>Business Advantage</v>
      </c>
      <c r="C60" s="46">
        <f>IF('SA Apr 2020'!BP38=0,91*'SA Apr 2020'!M38/100,(91*'SA Apr 2020'!M38/100)+'SA Apr 2020'!BP38/4)</f>
        <v>82.355000000000004</v>
      </c>
      <c r="D60" s="46">
        <f>IF('SA Apr 2020'!O38="",$C$54*$C$55*'SA Apr 2020'!N38/100,IF($C$54*$C$55&gt;='SA Apr 2020'!P38,('SA Apr 2020'!P38*'SA Apr 2020'!N38/100),($C$54*$C$55*'SA Apr 2020'!N38/100)))</f>
        <v>1350.0454545454545</v>
      </c>
      <c r="E60" s="46">
        <f>IF(AND('SA Apr 2020'!P38&gt;0,'SA Apr 2020'!R38&gt;0),IF($C$54*$C$55&lt;'SA Apr 2020'!P38,0,IF($C$54*$C$55&lt;=('SA Apr 2020'!R38+'SA Apr 2020'!P38),(($C$54*$C$55-'SA Apr 2020'!P38)*'SA Apr 2020'!Q38/100),(('SA Apr 2020'!R38)*'SA Apr 2020'!Q38/100))),0)</f>
        <v>0</v>
      </c>
      <c r="F60" s="46">
        <f>IF(AND('SA Apr 2020'!Q21&gt;0,'SA Apr 2020'!S21&gt;0),IF($C$54*$C$55&lt;('SA Apr 2020'!R21+'SA Apr 2020'!P21),0,IF($C$54*$C$55&lt;=('SA Apr 2020'!T21+'SA Apr 2020'!R21+'SA Apr 2020'!P21),(($C$54*$C$55-('SA Apr 2020'!R21+'SA Apr 2020'!P21))*'SA Apr 2020'!S21/100),('SA Apr 2020'!T21*'SA Apr 2020'!S21/100))),0)</f>
        <v>0</v>
      </c>
      <c r="G60" s="50">
        <f>IF(AND('SA Apr 2020'!R38&gt;0,'SA Apr 2020'!T38&gt;0),IF(($C$54*$C$55&lt;'SA Apr 2020'!T38),(0),($C$54*$C$55-'SA Apr 2020'!T38)*'SA Apr 2020'!U38/100),IF(AND('SA Apr 2020'!R38&gt;0,'SA Apr 2020'!T38=""),IF(($C$54*$C$55&lt;'SA Apr 2020'!R38+'SA Apr 2020'!P38),(0),(($C$54*$C$55-('SA Apr 2020'!R38+'SA Apr 2020'!P38))*'SA Apr 2020'!S38/100)),IF(AND('SA Apr 2020'!P38&gt;0,'SA Apr 2020'!R38=""&gt;0),IF(($C$54*$C$55&lt;'SA Apr 2020'!P38),(0),($C$54*$C$55-'SA Apr 2020'!P38)*'SA Apr 2020'!Q38/100),0)))</f>
        <v>0</v>
      </c>
      <c r="H60" s="51">
        <f>($C$54*$C$56)*'SA Apr 2020'!W38/100</f>
        <v>349.09090909090497</v>
      </c>
      <c r="I60" s="52">
        <f t="shared" ref="I60:I74" si="81">SUM(C60:H60)</f>
        <v>1781.4913636363594</v>
      </c>
      <c r="J60" s="109">
        <f t="shared" ref="J60:J74" si="82">(I60-C60)*4</f>
        <v>6796.5454545454377</v>
      </c>
      <c r="K60" s="109">
        <f t="shared" si="77"/>
        <v>7125.9654545454378</v>
      </c>
      <c r="L60" s="53">
        <f t="shared" si="78"/>
        <v>7838.5619999999817</v>
      </c>
      <c r="M60" s="54">
        <f>'SA Apr 2020'!BB38</f>
        <v>0</v>
      </c>
      <c r="N60" s="54">
        <f>'SA Apr 2020'!BC38</f>
        <v>0</v>
      </c>
      <c r="O60" s="54">
        <f>'SA Apr 2020'!BD38</f>
        <v>0</v>
      </c>
      <c r="P60" s="54">
        <f>'SA Apr 2020'!BE38</f>
        <v>0</v>
      </c>
      <c r="Q60" s="110" t="str">
        <f t="shared" si="79"/>
        <v>No discount</v>
      </c>
      <c r="R60" s="73" t="str">
        <f t="shared" si="80"/>
        <v>Exclusive</v>
      </c>
      <c r="S60" s="111">
        <f>IF(AND(Q60="Guaranteed off bill",R60="Inclusive"),((K60*1.1)-((K60*1.1)*M60/100))/1.1,IF(AND(Q60="Guaranteed off usage",R60="Inclusive"),((K60*1.1)-((J60*1.1)*N60/100))/1.1,IF(AND(Q60="Guaranteed off bill",R60="Exclusive"),K60-(K60*M60/100),IF(AND(Q60="Guaranteed off usage",R60="Exclusive"),K60-(J60*N60/100),IF(R60="Inclusive",((K60*1.1))/1.1,K60)))))</f>
        <v>7125.9654545454378</v>
      </c>
      <c r="T60" s="112">
        <f>IF(AND(Q60="Pay-on-time off bill",R60="Inclusive"),((S60*1.1)-((S60*1.1)*O60/100))/1.1,IF(AND(Q60="Pay-on-time off usage",R60="Inclusive"),((S60*1.1)-((J60*1.1)*P60/100))/1.1,IF(AND(Q60="Pay-on-time off bill",R60="Exclusive"),S60-(S60*O60/100),IF(AND(Q60="Pay-on-time off usage",R60="Exclusive"),S60-(J60*P60/100),IF(R60="Inclusive",((S60*1.1))/1.1,S60)))))</f>
        <v>7125.9654545454378</v>
      </c>
      <c r="U60" s="97">
        <f t="shared" ref="U60:V73" si="83">S60*1.1</f>
        <v>7838.5619999999817</v>
      </c>
      <c r="V60" s="98">
        <f t="shared" si="83"/>
        <v>7838.5619999999817</v>
      </c>
      <c r="W60" s="55">
        <f>'SA Apr 2020'!BL38</f>
        <v>0</v>
      </c>
      <c r="X60" s="56" t="str">
        <f>'SA Apr 2020'!BM38</f>
        <v>n</v>
      </c>
    </row>
    <row r="61" spans="1:53" x14ac:dyDescent="0.15">
      <c r="A61" s="70" t="str">
        <f>'SA Apr 2020'!K39</f>
        <v>Click Energy</v>
      </c>
      <c r="B61" s="49" t="str">
        <f>'SA Apr 2020'!L39</f>
        <v>Click Business Start</v>
      </c>
      <c r="C61" s="46">
        <f>IF('SA Apr 2020'!BP39=0,91*'SA Apr 2020'!M39/100,(91*'SA Apr 2020'!M39/100)+'SA Apr 2020'!BP39/4)</f>
        <v>64.48590909090909</v>
      </c>
      <c r="D61" s="46">
        <f>IF('SA Apr 2020'!O39="",$C$54*$C$55*'SA Apr 2020'!N39/100,IF($C$54*$C$55&gt;='SA Apr 2020'!P39,('SA Apr 2020'!P39*'SA Apr 2020'!N39/100),($C$54*$C$55*'SA Apr 2020'!N39/100)))</f>
        <v>1264.1363636363633</v>
      </c>
      <c r="E61" s="46">
        <f>IF(AND('SA Apr 2020'!P39&gt;0,'SA Apr 2020'!R39&gt;0),IF($C$54*$C$55&lt;'SA Apr 2020'!P39,0,IF($C$54*$C$55&lt;=('SA Apr 2020'!R39+'SA Apr 2020'!P39),(($C$54*$C$55-'SA Apr 2020'!P39)*'SA Apr 2020'!Q39/100),(('SA Apr 2020'!R39)*'SA Apr 2020'!Q39/100))),0)</f>
        <v>0</v>
      </c>
      <c r="F61" s="46">
        <f>IF(AND('SA Apr 2020'!Q22&gt;0,'SA Apr 2020'!S22&gt;0),IF($C$54*$C$55&lt;('SA Apr 2020'!R22+'SA Apr 2020'!P22),0,IF($C$54*$C$55&lt;=('SA Apr 2020'!T22+'SA Apr 2020'!R22+'SA Apr 2020'!P22),(($C$54*$C$55-('SA Apr 2020'!R22+'SA Apr 2020'!P22))*'SA Apr 2020'!S22/100),('SA Apr 2020'!T22*'SA Apr 2020'!S22/100))),0)</f>
        <v>0</v>
      </c>
      <c r="G61" s="50">
        <f>IF(AND('SA Apr 2020'!R39&gt;0,'SA Apr 2020'!T39&gt;0),IF(($C$54*$C$55&lt;'SA Apr 2020'!T39),(0),($C$54*$C$55-'SA Apr 2020'!T39)*'SA Apr 2020'!U39/100),IF(AND('SA Apr 2020'!R39&gt;0,'SA Apr 2020'!T39=""),IF(($C$54*$C$55&lt;'SA Apr 2020'!R39+'SA Apr 2020'!P39),(0),(($C$54*$C$55-('SA Apr 2020'!R39+'SA Apr 2020'!P39))*'SA Apr 2020'!S39/100)),IF(AND('SA Apr 2020'!P39&gt;0,'SA Apr 2020'!R39=""&gt;0),IF(($C$54*$C$55&lt;'SA Apr 2020'!P39),(0),($C$54*$C$55-'SA Apr 2020'!P39)*'SA Apr 2020'!Q39/100),0)))</f>
        <v>0</v>
      </c>
      <c r="H61" s="51">
        <f>($C$54*$C$56)*'SA Apr 2020'!W39/100</f>
        <v>469.49999999999994</v>
      </c>
      <c r="I61" s="52">
        <f t="shared" si="81"/>
        <v>1798.1222727272723</v>
      </c>
      <c r="J61" s="109">
        <f t="shared" si="82"/>
        <v>6934.5454545454531</v>
      </c>
      <c r="K61" s="109">
        <f t="shared" si="77"/>
        <v>7192.4890909090891</v>
      </c>
      <c r="L61" s="53">
        <f t="shared" si="78"/>
        <v>7911.7379999999985</v>
      </c>
      <c r="M61" s="54">
        <f>'SA Apr 2020'!BB39</f>
        <v>0</v>
      </c>
      <c r="N61" s="54">
        <f>'SA Apr 2020'!BC39</f>
        <v>0</v>
      </c>
      <c r="O61" s="54">
        <f>'SA Apr 2020'!BD39</f>
        <v>0</v>
      </c>
      <c r="P61" s="54">
        <f>'SA Apr 2020'!BE39</f>
        <v>0</v>
      </c>
      <c r="Q61" s="110" t="str">
        <f t="shared" si="79"/>
        <v>No discount</v>
      </c>
      <c r="R61" s="73" t="str">
        <f t="shared" si="80"/>
        <v>Exclusive</v>
      </c>
      <c r="S61" s="111">
        <f t="shared" ref="S61:S74" si="84">IF(AND(Q61="Guaranteed off bill",R61="Inclusive"),((K61*1.1)-((K61*1.1)*M61/100))/1.1,IF(AND(Q61="Guaranteed off usage",R61="Inclusive"),((K61*1.1)-((J61*1.1)*N61/100))/1.1,IF(AND(Q61="Guaranteed off bill",R61="Exclusive"),K61-(K61*M61/100),IF(AND(Q61="Guaranteed off usage",R61="Exclusive"),K61-(J61*N61/100),IF(R61="Inclusive",((K61*1.1))/1.1,K61)))))</f>
        <v>7192.4890909090891</v>
      </c>
      <c r="T61" s="112">
        <f t="shared" ref="T61:T74" si="85">IF(AND(Q61="Pay-on-time off bill",R61="Inclusive"),((S61*1.1)-((S61*1.1)*O61/100))/1.1,IF(AND(Q61="Pay-on-time off usage",R61="Inclusive"),((S61*1.1)-((J61*1.1)*P61/100))/1.1,IF(AND(Q61="Pay-on-time off bill",R61="Exclusive"),S61-(S61*O61/100),IF(AND(Q61="Pay-on-time off usage",R61="Exclusive"),S61-(J61*P61/100),IF(R61="Inclusive",((S61*1.1))/1.1,S61)))))</f>
        <v>7192.4890909090891</v>
      </c>
      <c r="U61" s="97">
        <f t="shared" si="83"/>
        <v>7911.7379999999985</v>
      </c>
      <c r="V61" s="98">
        <f t="shared" si="83"/>
        <v>7911.7379999999985</v>
      </c>
      <c r="W61" s="55">
        <f>'SA Apr 2020'!BL39</f>
        <v>0</v>
      </c>
      <c r="X61" s="56" t="str">
        <f>'SA Apr 2020'!BM39</f>
        <v>n</v>
      </c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  <c r="BA61" s="289"/>
    </row>
    <row r="62" spans="1:53" x14ac:dyDescent="0.15">
      <c r="A62" s="70" t="str">
        <f>'SA Apr 2020'!K40</f>
        <v>Commander</v>
      </c>
      <c r="B62" s="49" t="str">
        <f>'SA Apr 2020'!L40</f>
        <v>Market offer</v>
      </c>
      <c r="C62" s="46">
        <f>IF('SA Apr 2020'!BP40=0,91*'SA Apr 2020'!M40/100,(91*'SA Apr 2020'!M40/100)+'SA Apr 2020'!BP40/4)</f>
        <v>87.053909090909087</v>
      </c>
      <c r="D62" s="46">
        <f>IF('SA Apr 2020'!O40="",$C$54*$C$55*'SA Apr 2020'!N40/100,IF($C$54*$C$55&gt;='SA Apr 2020'!P40,('SA Apr 2020'!P40*'SA Apr 2020'!N40/100),($C$54*$C$55*'SA Apr 2020'!N40/100)))</f>
        <v>1321.7272727272727</v>
      </c>
      <c r="E62" s="46">
        <f>IF(AND('SA Apr 2020'!P40&gt;0,'SA Apr 2020'!R40&gt;0),IF($C$54*$C$55&lt;'SA Apr 2020'!P40,0,IF($C$54*$C$55&lt;=('SA Apr 2020'!R40+'SA Apr 2020'!P40),(($C$54*$C$55-'SA Apr 2020'!P40)*'SA Apr 2020'!Q40/100),(('SA Apr 2020'!R40)*'SA Apr 2020'!Q40/100))),0)</f>
        <v>0</v>
      </c>
      <c r="F62" s="46">
        <f>IF(AND('SA Apr 2020'!Q23&gt;0,'SA Apr 2020'!S23&gt;0),IF($C$54*$C$55&lt;('SA Apr 2020'!R23+'SA Apr 2020'!P23),0,IF($C$54*$C$55&lt;=('SA Apr 2020'!T23+'SA Apr 2020'!R23+'SA Apr 2020'!P23),(($C$54*$C$55-('SA Apr 2020'!R23+'SA Apr 2020'!P23))*'SA Apr 2020'!S23/100),('SA Apr 2020'!T23*'SA Apr 2020'!S23/100))),0)</f>
        <v>0</v>
      </c>
      <c r="G62" s="50">
        <f>IF(AND('SA Apr 2020'!R40&gt;0,'SA Apr 2020'!T40&gt;0),IF(($C$54*$C$55&lt;'SA Apr 2020'!T40),(0),($C$54*$C$55-'SA Apr 2020'!T40)*'SA Apr 2020'!U40/100),IF(AND('SA Apr 2020'!R40&gt;0,'SA Apr 2020'!T40=""),IF(($C$54*$C$55&lt;'SA Apr 2020'!R40+'SA Apr 2020'!P40),(0),(($C$54*$C$55-('SA Apr 2020'!R40+'SA Apr 2020'!P40))*'SA Apr 2020'!S40/100)),IF(AND('SA Apr 2020'!P40&gt;0,'SA Apr 2020'!R40=""&gt;0),IF(($C$54*$C$55&lt;'SA Apr 2020'!P40),(0),($C$54*$C$55-'SA Apr 2020'!P40)*'SA Apr 2020'!Q40/100),0)))</f>
        <v>0</v>
      </c>
      <c r="H62" s="51">
        <f>($C$54*$C$56)*'SA Apr 2020'!W40/100</f>
        <v>401.99999999999994</v>
      </c>
      <c r="I62" s="52">
        <f t="shared" si="81"/>
        <v>1810.7811818181817</v>
      </c>
      <c r="J62" s="109">
        <f t="shared" si="82"/>
        <v>6894.9090909090901</v>
      </c>
      <c r="K62" s="109">
        <f t="shared" si="77"/>
        <v>7243.1247272727269</v>
      </c>
      <c r="L62" s="53">
        <f t="shared" si="78"/>
        <v>7967.4372000000003</v>
      </c>
      <c r="M62" s="54">
        <f>'SA Apr 2020'!BB40</f>
        <v>0</v>
      </c>
      <c r="N62" s="54">
        <f>'SA Apr 2020'!BC40</f>
        <v>0</v>
      </c>
      <c r="O62" s="54">
        <f>'SA Apr 2020'!BD40</f>
        <v>0</v>
      </c>
      <c r="P62" s="54">
        <f>'SA Apr 2020'!BE40</f>
        <v>0</v>
      </c>
      <c r="Q62" s="110" t="str">
        <f t="shared" si="79"/>
        <v>No discount</v>
      </c>
      <c r="R62" s="73" t="str">
        <f t="shared" si="80"/>
        <v>Exclusive</v>
      </c>
      <c r="S62" s="111">
        <f t="shared" si="84"/>
        <v>7243.1247272727269</v>
      </c>
      <c r="T62" s="112">
        <f t="shared" si="85"/>
        <v>7243.1247272727269</v>
      </c>
      <c r="U62" s="97">
        <f t="shared" si="83"/>
        <v>7967.4372000000003</v>
      </c>
      <c r="V62" s="98">
        <f t="shared" si="83"/>
        <v>7967.4372000000003</v>
      </c>
      <c r="W62" s="55">
        <f>'SA Apr 2020'!BL40</f>
        <v>0</v>
      </c>
      <c r="X62" s="56" t="str">
        <f>'SA Apr 2020'!BM40</f>
        <v>n</v>
      </c>
    </row>
    <row r="63" spans="1:53" x14ac:dyDescent="0.15">
      <c r="A63" s="70" t="str">
        <f>'SA Apr 2020'!K41</f>
        <v>Diamond Energy</v>
      </c>
      <c r="B63" s="49" t="str">
        <f>'SA Apr 2020'!L41</f>
        <v>Renewable Saver POT</v>
      </c>
      <c r="C63" s="46">
        <f>IF('SA Apr 2020'!BP41=0,91*'SA Apr 2020'!M41/100,(91*'SA Apr 2020'!M41/100)+'SA Apr 2020'!BP41/4)</f>
        <v>90.545000000000002</v>
      </c>
      <c r="D63" s="46">
        <f>IF('SA Apr 2020'!O41="",$C$54*$C$55*'SA Apr 2020'!N41/100,IF($C$54*$C$55&gt;='SA Apr 2020'!P41,('SA Apr 2020'!P41*'SA Apr 2020'!N41/100),($C$54*$C$55*'SA Apr 2020'!N41/100)))</f>
        <v>419</v>
      </c>
      <c r="E63" s="46">
        <f>IF(AND('SA Apr 2020'!P41&gt;0,'SA Apr 2020'!R41&gt;0),IF($C$54*$C$55&lt;'SA Apr 2020'!P41,0,IF($C$54*$C$55&lt;=('SA Apr 2020'!R41+'SA Apr 2020'!P41),(($C$54*$C$55-'SA Apr 2020'!P41)*'SA Apr 2020'!Q41/100),(('SA Apr 2020'!R41)*'SA Apr 2020'!Q41/100))),0)</f>
        <v>6.3899999999999988</v>
      </c>
      <c r="F63" s="46">
        <f>IF(AND('SA Apr 2020'!Q24&gt;0,'SA Apr 2020'!S24&gt;0),IF($C$54*$C$55&lt;('SA Apr 2020'!R24+'SA Apr 2020'!P24),0,IF($C$54*$C$55&lt;=('SA Apr 2020'!T24+'SA Apr 2020'!R24+'SA Apr 2020'!P24),(($C$54*$C$55-('SA Apr 2020'!R24+'SA Apr 2020'!P24))*'SA Apr 2020'!S24/100),('SA Apr 2020'!T24*'SA Apr 2020'!S24/100))),0)</f>
        <v>0</v>
      </c>
      <c r="G63" s="50">
        <f>IF(AND('SA Apr 2020'!R41&gt;0,'SA Apr 2020'!T41&gt;0),IF(($C$54*$C$55&lt;'SA Apr 2020'!T41),(0),($C$54*$C$55-'SA Apr 2020'!T41)*'SA Apr 2020'!U41/100),IF(AND('SA Apr 2020'!R41&gt;0,'SA Apr 2020'!T41=""),IF(($C$54*$C$55&lt;'SA Apr 2020'!R41+'SA Apr 2020'!P41),(0),(($C$54*$C$55-('SA Apr 2020'!R41+'SA Apr 2020'!P41))*'SA Apr 2020'!S41/100)),IF(AND('SA Apr 2020'!P41&gt;0,'SA Apr 2020'!R41=""&gt;0),IF(($C$54*$C$55&lt;'SA Apr 2020'!P41),(0),($C$54*$C$55-'SA Apr 2020'!P41)*'SA Apr 2020'!Q41/100),0)))</f>
        <v>119.73181818181773</v>
      </c>
      <c r="H63" s="51">
        <f>($C$54*$C$56)*'SA Apr 2020'!W41/100</f>
        <v>419.31818181818176</v>
      </c>
      <c r="I63" s="52">
        <f t="shared" si="81"/>
        <v>1054.9849999999997</v>
      </c>
      <c r="J63" s="109">
        <f t="shared" si="82"/>
        <v>3857.7599999999989</v>
      </c>
      <c r="K63" s="109">
        <f t="shared" si="77"/>
        <v>4219.9399999999987</v>
      </c>
      <c r="L63" s="53">
        <f t="shared" si="78"/>
        <v>4641.9339999999993</v>
      </c>
      <c r="M63" s="54">
        <f>'SA Apr 2020'!BB41</f>
        <v>0</v>
      </c>
      <c r="N63" s="54">
        <f>'SA Apr 2020'!BC41</f>
        <v>0</v>
      </c>
      <c r="O63" s="54">
        <f>'SA Apr 2020'!BD41</f>
        <v>7</v>
      </c>
      <c r="P63" s="54">
        <f>'SA Apr 2020'!BE41</f>
        <v>0</v>
      </c>
      <c r="Q63" s="110" t="str">
        <f t="shared" si="79"/>
        <v>Pay-on-time off bill</v>
      </c>
      <c r="R63" s="73" t="str">
        <f t="shared" si="80"/>
        <v>Exclusive</v>
      </c>
      <c r="S63" s="111">
        <f t="shared" si="84"/>
        <v>4219.9399999999987</v>
      </c>
      <c r="T63" s="112">
        <f t="shared" si="85"/>
        <v>3924.5441999999989</v>
      </c>
      <c r="U63" s="97">
        <f t="shared" si="83"/>
        <v>4641.9339999999993</v>
      </c>
      <c r="V63" s="98">
        <f t="shared" si="83"/>
        <v>4316.9986199999994</v>
      </c>
      <c r="W63" s="55">
        <f>'SA Apr 2020'!BL41</f>
        <v>0</v>
      </c>
      <c r="X63" s="56" t="str">
        <f>'SA Apr 2020'!BM41</f>
        <v>n</v>
      </c>
    </row>
    <row r="64" spans="1:53" x14ac:dyDescent="0.15">
      <c r="A64" s="70" t="str">
        <f>'SA Apr 2020'!K42</f>
        <v>EnergyAustralia</v>
      </c>
      <c r="B64" s="49" t="str">
        <f>'SA Apr 2020'!L42</f>
        <v>Total Plan</v>
      </c>
      <c r="C64" s="46">
        <f>IF('SA Apr 2020'!BP42=0,91*'SA Apr 2020'!M42/100,(91*'SA Apr 2020'!M42/100)+'SA Apr 2020'!BP42/4)</f>
        <v>86.540999999999997</v>
      </c>
      <c r="D64" s="46">
        <f>IF('SA Apr 2020'!O42="",$C$54*$C$55*'SA Apr 2020'!N42/100,IF($C$54*$C$55&gt;='SA Apr 2020'!P42,('SA Apr 2020'!P42*'SA Apr 2020'!N42/100),($C$54*$C$55*'SA Apr 2020'!N42/100)))</f>
        <v>1529.181818181818</v>
      </c>
      <c r="E64" s="46">
        <f>IF(AND('SA Apr 2020'!P42&gt;0,'SA Apr 2020'!R42&gt;0),IF($C$54*$C$55&lt;'SA Apr 2020'!P42,0,IF($C$54*$C$55&lt;=('SA Apr 2020'!R42+'SA Apr 2020'!P42),(($C$54*$C$55-'SA Apr 2020'!P42)*'SA Apr 2020'!Q42/100),(('SA Apr 2020'!R42)*'SA Apr 2020'!Q42/100))),0)</f>
        <v>0</v>
      </c>
      <c r="F64" s="46">
        <f>IF(AND('SA Apr 2020'!Q25&gt;0,'SA Apr 2020'!S25&gt;0),IF($C$54*$C$55&lt;('SA Apr 2020'!R25+'SA Apr 2020'!P25),0,IF($C$54*$C$55&lt;=('SA Apr 2020'!T25+'SA Apr 2020'!R25+'SA Apr 2020'!P25),(($C$54*$C$55-('SA Apr 2020'!R25+'SA Apr 2020'!P25))*'SA Apr 2020'!S25/100),('SA Apr 2020'!T25*'SA Apr 2020'!S25/100))),0)</f>
        <v>0</v>
      </c>
      <c r="G64" s="50">
        <f>IF(AND('SA Apr 2020'!R42&gt;0,'SA Apr 2020'!T42&gt;0),IF(($C$54*$C$55&lt;'SA Apr 2020'!T42),(0),($C$54*$C$55-'SA Apr 2020'!T42)*'SA Apr 2020'!U42/100),IF(AND('SA Apr 2020'!R42&gt;0,'SA Apr 2020'!T42=""),IF(($C$54*$C$55&lt;'SA Apr 2020'!R42+'SA Apr 2020'!P42),(0),(($C$54*$C$55-('SA Apr 2020'!R42+'SA Apr 2020'!P42))*'SA Apr 2020'!S42/100)),IF(AND('SA Apr 2020'!P42&gt;0,'SA Apr 2020'!R42=""&gt;0),IF(($C$54*$C$55&lt;'SA Apr 2020'!P42),(0),($C$54*$C$55-'SA Apr 2020'!P42)*'SA Apr 2020'!Q42/100),0)))</f>
        <v>0</v>
      </c>
      <c r="H64" s="51">
        <f>($C$54*$C$56)*'SA Apr 2020'!W42/100</f>
        <v>329.99998650000003</v>
      </c>
      <c r="I64" s="52">
        <f t="shared" si="81"/>
        <v>1945.7228046818179</v>
      </c>
      <c r="J64" s="109">
        <f t="shared" si="82"/>
        <v>7436.727218727272</v>
      </c>
      <c r="K64" s="109">
        <f t="shared" si="77"/>
        <v>7782.8912187272717</v>
      </c>
      <c r="L64" s="53">
        <f t="shared" si="78"/>
        <v>8561.1803405999999</v>
      </c>
      <c r="M64" s="54">
        <f>'SA Apr 2020'!BB42</f>
        <v>5</v>
      </c>
      <c r="N64" s="54">
        <f>'SA Apr 2020'!BC42</f>
        <v>0</v>
      </c>
      <c r="O64" s="54">
        <f>'SA Apr 2020'!BD42</f>
        <v>0</v>
      </c>
      <c r="P64" s="54">
        <f>'SA Apr 2020'!BE42</f>
        <v>0</v>
      </c>
      <c r="Q64" s="110" t="str">
        <f t="shared" si="79"/>
        <v>Guaranteed off bill</v>
      </c>
      <c r="R64" s="73" t="str">
        <f t="shared" si="80"/>
        <v>Exclusive</v>
      </c>
      <c r="S64" s="111">
        <f t="shared" si="84"/>
        <v>7393.7466577909081</v>
      </c>
      <c r="T64" s="112">
        <f t="shared" si="85"/>
        <v>7393.7466577909081</v>
      </c>
      <c r="U64" s="97">
        <f t="shared" si="83"/>
        <v>8133.1213235699997</v>
      </c>
      <c r="V64" s="98">
        <f t="shared" si="83"/>
        <v>8133.1213235699997</v>
      </c>
      <c r="W64" s="55">
        <f>'SA Apr 2020'!BL42</f>
        <v>0</v>
      </c>
      <c r="X64" s="56" t="str">
        <f>'SA Apr 2020'!BM42</f>
        <v>n</v>
      </c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</row>
    <row r="65" spans="1:53" x14ac:dyDescent="0.15">
      <c r="A65" s="70" t="str">
        <f>'SA Apr 2020'!K43</f>
        <v>Momentum Energy</v>
      </c>
      <c r="B65" s="49" t="str">
        <f>'SA Apr 2020'!L43</f>
        <v>SmilePower Flexi</v>
      </c>
      <c r="C65" s="46">
        <f>IF('SA Apr 2020'!BP43=0,91*'SA Apr 2020'!M43/100,(91*'SA Apr 2020'!M43/100)+'SA Apr 2020'!BP43/4)</f>
        <v>92.075454545454534</v>
      </c>
      <c r="D65" s="46">
        <f>IF('SA Apr 2020'!O43="",$C$54*$C$55*'SA Apr 2020'!N43/100,IF($C$54*$C$55&gt;='SA Apr 2020'!P43,('SA Apr 2020'!P43*'SA Apr 2020'!N43/100),($C$54*$C$55*'SA Apr 2020'!N43/100)))</f>
        <v>1253.6363636363633</v>
      </c>
      <c r="E65" s="46">
        <f>IF(AND('SA Apr 2020'!P43&gt;0,'SA Apr 2020'!R43&gt;0),IF($C$54*$C$55&lt;'SA Apr 2020'!P43,0,IF($C$54*$C$55&lt;=('SA Apr 2020'!R43+'SA Apr 2020'!P43),(($C$54*$C$55-'SA Apr 2020'!P43)*'SA Apr 2020'!Q43/100),(('SA Apr 2020'!R43)*'SA Apr 2020'!Q43/100))),0)</f>
        <v>0</v>
      </c>
      <c r="F65" s="46">
        <f>IF(AND('SA Apr 2020'!Q27&gt;0,'SA Apr 2020'!S27&gt;0),IF($C$54*$C$55&lt;('SA Apr 2020'!R27+'SA Apr 2020'!P27),0,IF($C$54*$C$55&lt;=('SA Apr 2020'!T27+'SA Apr 2020'!R27+'SA Apr 2020'!P27),(($C$54*$C$55-('SA Apr 2020'!R27+'SA Apr 2020'!P27))*'SA Apr 2020'!S27/100),('SA Apr 2020'!T27*'SA Apr 2020'!S27/100))),0)</f>
        <v>0</v>
      </c>
      <c r="G65" s="50">
        <f>IF(AND('SA Apr 2020'!R43&gt;0,'SA Apr 2020'!T43&gt;0),IF(($C$54*$C$55&lt;'SA Apr 2020'!T43),(0),($C$54*$C$55-'SA Apr 2020'!T43)*'SA Apr 2020'!U43/100),IF(AND('SA Apr 2020'!R43&gt;0,'SA Apr 2020'!T43=""),IF(($C$54*$C$55&lt;'SA Apr 2020'!R43+'SA Apr 2020'!P43),(0),(($C$54*$C$55-('SA Apr 2020'!R43+'SA Apr 2020'!P43))*'SA Apr 2020'!S43/100)),IF(AND('SA Apr 2020'!P43&gt;0,'SA Apr 2020'!R43=""&gt;0),IF(($C$54*$C$55&lt;'SA Apr 2020'!P43),(0),($C$54*$C$55-'SA Apr 2020'!P43)*'SA Apr 2020'!Q43/100),0)))</f>
        <v>0</v>
      </c>
      <c r="H65" s="51">
        <f>($C$54*$C$56)*'SA Apr 2020'!W43/100</f>
        <v>320.45454545454544</v>
      </c>
      <c r="I65" s="52">
        <f t="shared" si="81"/>
        <v>1666.1663636363633</v>
      </c>
      <c r="J65" s="109">
        <f t="shared" si="82"/>
        <v>6296.3636363636351</v>
      </c>
      <c r="K65" s="109">
        <f t="shared" si="77"/>
        <v>6664.665454545453</v>
      </c>
      <c r="L65" s="53">
        <f t="shared" si="78"/>
        <v>7331.1319999999987</v>
      </c>
      <c r="M65" s="54">
        <f>'SA Apr 2020'!BB43</f>
        <v>0</v>
      </c>
      <c r="N65" s="54">
        <f>'SA Apr 2020'!BC43</f>
        <v>0</v>
      </c>
      <c r="O65" s="54">
        <f>'SA Apr 2020'!BD43</f>
        <v>0</v>
      </c>
      <c r="P65" s="54">
        <f>'SA Apr 2020'!BE43</f>
        <v>0</v>
      </c>
      <c r="Q65" s="110" t="str">
        <f t="shared" si="79"/>
        <v>No discount</v>
      </c>
      <c r="R65" s="73" t="str">
        <f t="shared" si="80"/>
        <v>Exclusive</v>
      </c>
      <c r="S65" s="111">
        <f t="shared" si="84"/>
        <v>6664.665454545453</v>
      </c>
      <c r="T65" s="112">
        <f t="shared" si="85"/>
        <v>6664.665454545453</v>
      </c>
      <c r="U65" s="97">
        <f t="shared" si="83"/>
        <v>7331.1319999999987</v>
      </c>
      <c r="V65" s="98">
        <f t="shared" si="83"/>
        <v>7331.1319999999987</v>
      </c>
      <c r="W65" s="55">
        <f>'SA Apr 2020'!BL43</f>
        <v>0</v>
      </c>
      <c r="X65" s="56" t="str">
        <f>'SA Apr 2020'!BM43</f>
        <v>n</v>
      </c>
    </row>
    <row r="66" spans="1:53" x14ac:dyDescent="0.15">
      <c r="A66" s="70" t="str">
        <f>'SA Apr 2020'!K44</f>
        <v>Origin Energy</v>
      </c>
      <c r="B66" s="49" t="str">
        <f>'SA Apr 2020'!L44</f>
        <v xml:space="preserve">Flexi </v>
      </c>
      <c r="C66" s="46">
        <f>IF('SA Apr 2020'!BP44=0,91*'SA Apr 2020'!M44/100,(91*'SA Apr 2020'!M44/100)+'SA Apr 2020'!BP44/4)</f>
        <v>81.693181818181813</v>
      </c>
      <c r="D66" s="46">
        <f>IF('SA Apr 2020'!O44="",$C$54*$C$55*'SA Apr 2020'!N44/100,IF($C$54*$C$55&gt;='SA Apr 2020'!P44,('SA Apr 2020'!P44*'SA Apr 2020'!N44/100),($C$54*$C$55*'SA Apr 2020'!N44/100)))</f>
        <v>1473.5</v>
      </c>
      <c r="E66" s="46">
        <f>IF(AND('SA Apr 2020'!P44&gt;0,'SA Apr 2020'!R44&gt;0),IF($C$54*$C$55&lt;'SA Apr 2020'!P44,0,IF($C$54*$C$55&lt;=('SA Apr 2020'!R44+'SA Apr 2020'!P44),(($C$54*$C$55-'SA Apr 2020'!P44)*'SA Apr 2020'!Q44/100),(('SA Apr 2020'!R44)*'SA Apr 2020'!Q44/100))),0)</f>
        <v>0</v>
      </c>
      <c r="F66" s="46">
        <f>IF(AND('SA Apr 2020'!Q28&gt;0,'SA Apr 2020'!S28&gt;0),IF($C$54*$C$55&lt;('SA Apr 2020'!R28+'SA Apr 2020'!P28),0,IF($C$54*$C$55&lt;=('SA Apr 2020'!T28+'SA Apr 2020'!R28+'SA Apr 2020'!P28),(($C$54*$C$55-('SA Apr 2020'!R28+'SA Apr 2020'!P28))*'SA Apr 2020'!S28/100),('SA Apr 2020'!T28*'SA Apr 2020'!S28/100))),0)</f>
        <v>0</v>
      </c>
      <c r="G66" s="50">
        <f>IF(AND('SA Apr 2020'!R44&gt;0,'SA Apr 2020'!T44&gt;0),IF(($C$54*$C$55&lt;'SA Apr 2020'!T44),(0),($C$54*$C$55-'SA Apr 2020'!T44)*'SA Apr 2020'!U44/100),IF(AND('SA Apr 2020'!R44&gt;0,'SA Apr 2020'!T44=""),IF(($C$54*$C$55&lt;'SA Apr 2020'!R44+'SA Apr 2020'!P44),(0),(($C$54*$C$55-('SA Apr 2020'!R44+'SA Apr 2020'!P44))*'SA Apr 2020'!S44/100)),IF(AND('SA Apr 2020'!P44&gt;0,'SA Apr 2020'!R44=""&gt;0),IF(($C$54*$C$55&lt;'SA Apr 2020'!P44),(0),($C$54*$C$55-'SA Apr 2020'!P44)*'SA Apr 2020'!Q44/100),0)))</f>
        <v>0</v>
      </c>
      <c r="H66" s="51">
        <f>($C$54*$C$56)*'SA Apr 2020'!W44/100</f>
        <v>410.04545454545456</v>
      </c>
      <c r="I66" s="52">
        <f t="shared" si="81"/>
        <v>1965.2386363636363</v>
      </c>
      <c r="J66" s="109">
        <f t="shared" si="82"/>
        <v>7534.181818181818</v>
      </c>
      <c r="K66" s="109">
        <f t="shared" si="77"/>
        <v>7860.954545454545</v>
      </c>
      <c r="L66" s="53">
        <f t="shared" si="78"/>
        <v>8647.0500000000011</v>
      </c>
      <c r="M66" s="54">
        <f>'SA Apr 2020'!BB44</f>
        <v>14</v>
      </c>
      <c r="N66" s="54">
        <f>'SA Apr 2020'!BC44</f>
        <v>0</v>
      </c>
      <c r="O66" s="54">
        <f>'SA Apr 2020'!BD44</f>
        <v>0</v>
      </c>
      <c r="P66" s="54">
        <f>'SA Apr 2020'!BE44</f>
        <v>0</v>
      </c>
      <c r="Q66" s="110" t="str">
        <f t="shared" ref="Q66:Q74" si="86">IF(SUM(M66:P66)=0,"No discount",IF(M66&gt;0,"Guaranteed off bill",IF(N66&gt;0,"Guaranteed off usage",IF(O66&gt;0,"Pay-on-time off bill","Pay-on-time off usage"))))</f>
        <v>Guaranteed off bill</v>
      </c>
      <c r="R66" s="73" t="str">
        <f t="shared" si="80"/>
        <v>Inclusive</v>
      </c>
      <c r="S66" s="111">
        <f t="shared" si="84"/>
        <v>6760.4209090909089</v>
      </c>
      <c r="T66" s="112">
        <f t="shared" si="85"/>
        <v>6760.4209090909089</v>
      </c>
      <c r="U66" s="97">
        <f t="shared" si="83"/>
        <v>7436.4630000000006</v>
      </c>
      <c r="V66" s="98">
        <f t="shared" si="83"/>
        <v>7436.4630000000006</v>
      </c>
      <c r="W66" s="55">
        <f>'SA Apr 2020'!BL44</f>
        <v>12</v>
      </c>
      <c r="X66" s="56" t="str">
        <f>'SA Apr 2020'!BM44</f>
        <v>y</v>
      </c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A66" s="289"/>
    </row>
    <row r="67" spans="1:53" x14ac:dyDescent="0.15">
      <c r="A67" s="70" t="str">
        <f>'SA Apr 2020'!K45</f>
        <v>Powerdirect</v>
      </c>
      <c r="B67" s="49" t="str">
        <f>'SA Apr 2020'!L45</f>
        <v>Discount Saver</v>
      </c>
      <c r="C67" s="46">
        <f>IF('SA Apr 2020'!BP45=0,91*'SA Apr 2020'!M45/100,(91*'SA Apr 2020'!M45/100)+'SA Apr 2020'!BP45/4)</f>
        <v>80.989999999999995</v>
      </c>
      <c r="D67" s="46">
        <f>IF('SA Apr 2020'!O45="",$C$54*$C$55*'SA Apr 2020'!N45/100,IF($C$54*$C$55&gt;='SA Apr 2020'!P45,('SA Apr 2020'!P45*'SA Apr 2020'!N45/100),($C$54*$C$55*'SA Apr 2020'!N45/100)))</f>
        <v>1501.5</v>
      </c>
      <c r="E67" s="46">
        <f>IF(AND('SA Apr 2020'!P45&gt;0,'SA Apr 2020'!R45&gt;0),IF($C$54*$C$55&lt;'SA Apr 2020'!P45,0,IF($C$54*$C$55&lt;=('SA Apr 2020'!R45+'SA Apr 2020'!P45),(($C$54*$C$55-'SA Apr 2020'!P45)*'SA Apr 2020'!Q45/100),(('SA Apr 2020'!R45)*'SA Apr 2020'!Q45/100))),0)</f>
        <v>0</v>
      </c>
      <c r="F67" s="46">
        <f>IF(AND('SA Apr 2020'!Q29&gt;0,'SA Apr 2020'!S29&gt;0),IF($C$54*$C$55&lt;('SA Apr 2020'!R29+'SA Apr 2020'!P29),0,IF($C$54*$C$55&lt;=('SA Apr 2020'!T29+'SA Apr 2020'!R29+'SA Apr 2020'!P29),(($C$54*$C$55-('SA Apr 2020'!R29+'SA Apr 2020'!P29))*'SA Apr 2020'!S29/100),('SA Apr 2020'!T29*'SA Apr 2020'!S29/100))),0)</f>
        <v>0</v>
      </c>
      <c r="G67" s="50">
        <f>IF(AND('SA Apr 2020'!R45&gt;0,'SA Apr 2020'!T45&gt;0),IF(($C$54*$C$55&lt;'SA Apr 2020'!T45),(0),($C$54*$C$55-'SA Apr 2020'!T45)*'SA Apr 2020'!U45/100),IF(AND('SA Apr 2020'!R45&gt;0,'SA Apr 2020'!T45=""),IF(($C$54*$C$55&lt;'SA Apr 2020'!R45+'SA Apr 2020'!P45),(0),(($C$54*$C$55-('SA Apr 2020'!R45+'SA Apr 2020'!P45))*'SA Apr 2020'!S45/100)),IF(AND('SA Apr 2020'!P45&gt;0,'SA Apr 2020'!R45=""&gt;0),IF(($C$54*$C$55&lt;'SA Apr 2020'!P45),(0),($C$54*$C$55-'SA Apr 2020'!P45)*'SA Apr 2020'!Q45/100),0)))</f>
        <v>0</v>
      </c>
      <c r="H67" s="51">
        <f>($C$54*$C$56)*'SA Apr 2020'!W45/100</f>
        <v>418.5</v>
      </c>
      <c r="I67" s="52">
        <f t="shared" si="81"/>
        <v>2000.99</v>
      </c>
      <c r="J67" s="109">
        <f t="shared" si="82"/>
        <v>7680</v>
      </c>
      <c r="K67" s="109">
        <f t="shared" si="77"/>
        <v>8003.96</v>
      </c>
      <c r="L67" s="53">
        <f t="shared" si="78"/>
        <v>8804.3560000000016</v>
      </c>
      <c r="M67" s="54">
        <f>'SA Apr 2020'!BB45</f>
        <v>15</v>
      </c>
      <c r="N67" s="54">
        <f>'SA Apr 2020'!BC45</f>
        <v>0</v>
      </c>
      <c r="O67" s="54">
        <f>'SA Apr 2020'!BD45</f>
        <v>0</v>
      </c>
      <c r="P67" s="54">
        <f>'SA Apr 2020'!BE45</f>
        <v>0</v>
      </c>
      <c r="Q67" s="110" t="str">
        <f t="shared" si="86"/>
        <v>Guaranteed off bill</v>
      </c>
      <c r="R67" s="73" t="str">
        <f t="shared" si="80"/>
        <v>Exclusive</v>
      </c>
      <c r="S67" s="111">
        <f t="shared" si="84"/>
        <v>6803.366</v>
      </c>
      <c r="T67" s="112">
        <f t="shared" si="85"/>
        <v>6803.366</v>
      </c>
      <c r="U67" s="97">
        <f t="shared" si="83"/>
        <v>7483.7026000000005</v>
      </c>
      <c r="V67" s="98">
        <f t="shared" si="83"/>
        <v>7483.7026000000005</v>
      </c>
      <c r="W67" s="55">
        <f>'SA Apr 2020'!BL45</f>
        <v>0</v>
      </c>
      <c r="X67" s="56" t="str">
        <f>'SA Apr 2020'!BM45</f>
        <v>n</v>
      </c>
      <c r="Z67" s="289"/>
      <c r="AB67" s="289"/>
      <c r="AD67" s="289"/>
      <c r="AF67" s="289"/>
      <c r="AH67" s="289"/>
      <c r="AJ67" s="289"/>
      <c r="AL67" s="289"/>
      <c r="AN67" s="289"/>
      <c r="AP67" s="289"/>
      <c r="AR67" s="289"/>
      <c r="AT67" s="289"/>
      <c r="AV67" s="289"/>
      <c r="AX67" s="289"/>
      <c r="AZ67" s="289"/>
    </row>
    <row r="68" spans="1:53" x14ac:dyDescent="0.15">
      <c r="A68" s="70" t="str">
        <f>'SA Apr 2020'!K46</f>
        <v>Red Energy</v>
      </c>
      <c r="B68" s="49" t="str">
        <f>'SA Apr 2020'!L46</f>
        <v>Red Business Saver</v>
      </c>
      <c r="C68" s="46">
        <f>IF('SA Apr 2020'!BP46=0,91*'SA Apr 2020'!M46/100,(91*'SA Apr 2020'!M46/100)+'SA Apr 2020'!BP46/4)</f>
        <v>79.260999999999996</v>
      </c>
      <c r="D68" s="46">
        <f>IF('SA Apr 2020'!O46="",$C$54*$C$55*'SA Apr 2020'!N46/100,IF($C$54*$C$55&gt;='SA Apr 2020'!P46,('SA Apr 2020'!P46*'SA Apr 2020'!N46/100),($C$54*$C$55*'SA Apr 2020'!N46/100)))</f>
        <v>1235.4999999999998</v>
      </c>
      <c r="E68" s="46">
        <f>IF(AND('SA Apr 2020'!P46&gt;0,'SA Apr 2020'!R46&gt;0),IF($C$54*$C$55&lt;'SA Apr 2020'!P46,0,IF($C$54*$C$55&lt;=('SA Apr 2020'!R46+'SA Apr 2020'!P46),(($C$54*$C$55-'SA Apr 2020'!P46)*'SA Apr 2020'!Q46/100),(('SA Apr 2020'!R46)*'SA Apr 2020'!Q46/100))),0)</f>
        <v>0</v>
      </c>
      <c r="F68" s="46">
        <f>IF(AND('SA Apr 2020'!Q30&gt;0,'SA Apr 2020'!S30&gt;0),IF($C$54*$C$55&lt;('SA Apr 2020'!R30+'SA Apr 2020'!P30),0,IF($C$54*$C$55&lt;=('SA Apr 2020'!T30+'SA Apr 2020'!R30+'SA Apr 2020'!P30),(($C$54*$C$55-('SA Apr 2020'!R30+'SA Apr 2020'!P30))*'SA Apr 2020'!S30/100),('SA Apr 2020'!T30*'SA Apr 2020'!S30/100))),0)</f>
        <v>0</v>
      </c>
      <c r="G68" s="50">
        <f>IF(AND('SA Apr 2020'!R46&gt;0,'SA Apr 2020'!T46&gt;0),IF(($C$54*$C$55&lt;'SA Apr 2020'!T46),(0),($C$54*$C$55-'SA Apr 2020'!T46)*'SA Apr 2020'!U46/100),IF(AND('SA Apr 2020'!R46&gt;0,'SA Apr 2020'!T46=""),IF(($C$54*$C$55&lt;'SA Apr 2020'!R46+'SA Apr 2020'!P46),(0),(($C$54*$C$55-('SA Apr 2020'!R46+'SA Apr 2020'!P46))*'SA Apr 2020'!S46/100)),IF(AND('SA Apr 2020'!P46&gt;0,'SA Apr 2020'!R46=""&gt;0),IF(($C$54*$C$55&lt;'SA Apr 2020'!P46),(0),($C$54*$C$55-'SA Apr 2020'!P46)*'SA Apr 2020'!Q46/100),0)))</f>
        <v>0</v>
      </c>
      <c r="H68" s="51">
        <f>($C$54*$C$56)*'SA Apr 2020'!W46/100</f>
        <v>446.99999999999994</v>
      </c>
      <c r="I68" s="52">
        <f t="shared" si="81"/>
        <v>1761.7609999999997</v>
      </c>
      <c r="J68" s="109">
        <f t="shared" si="82"/>
        <v>6729.9999999999991</v>
      </c>
      <c r="K68" s="109">
        <f t="shared" si="77"/>
        <v>7047.043999999999</v>
      </c>
      <c r="L68" s="53">
        <f t="shared" si="78"/>
        <v>7751.7483999999995</v>
      </c>
      <c r="M68" s="54">
        <f>'SA Apr 2020'!BB46</f>
        <v>0</v>
      </c>
      <c r="N68" s="54">
        <f>'SA Apr 2020'!BC46</f>
        <v>0</v>
      </c>
      <c r="O68" s="54">
        <f>'SA Apr 2020'!BD46</f>
        <v>0</v>
      </c>
      <c r="P68" s="54">
        <f>'SA Apr 2020'!BE46</f>
        <v>0</v>
      </c>
      <c r="Q68" s="110" t="str">
        <f t="shared" si="86"/>
        <v>No discount</v>
      </c>
      <c r="R68" s="73" t="str">
        <f t="shared" si="80"/>
        <v>Inclusive</v>
      </c>
      <c r="S68" s="111">
        <f t="shared" si="84"/>
        <v>7047.043999999999</v>
      </c>
      <c r="T68" s="112">
        <f t="shared" si="85"/>
        <v>7047.043999999999</v>
      </c>
      <c r="U68" s="97">
        <f t="shared" si="83"/>
        <v>7751.7483999999995</v>
      </c>
      <c r="V68" s="98">
        <f t="shared" si="83"/>
        <v>7751.7483999999995</v>
      </c>
      <c r="W68" s="55">
        <f>'SA Apr 2020'!BL46</f>
        <v>0</v>
      </c>
      <c r="X68" s="56" t="str">
        <f>'SA Apr 2020'!BM46</f>
        <v>n</v>
      </c>
      <c r="Z68" s="289"/>
      <c r="AB68" s="289"/>
      <c r="AD68" s="289"/>
      <c r="AF68" s="289"/>
      <c r="AH68" s="289"/>
      <c r="AJ68" s="289"/>
      <c r="AL68" s="289"/>
      <c r="AN68" s="289"/>
      <c r="AP68" s="289"/>
      <c r="AR68" s="289"/>
      <c r="AT68" s="289"/>
      <c r="AV68" s="289"/>
      <c r="AX68" s="289"/>
      <c r="AZ68" s="289"/>
    </row>
    <row r="69" spans="1:53" x14ac:dyDescent="0.15">
      <c r="A69" s="70" t="str">
        <f>'SA Apr 2020'!K47</f>
        <v>Simply Energy</v>
      </c>
      <c r="B69" s="49" t="str">
        <f>'SA Apr 2020'!L47</f>
        <v>Business Plus</v>
      </c>
      <c r="C69" s="46">
        <f>IF('SA Apr 2020'!BP47=0,91*'SA Apr 2020'!M47/100,(91*'SA Apr 2020'!M47/100)+'SA Apr 2020'!BP47/4)</f>
        <v>78.605800000000002</v>
      </c>
      <c r="D69" s="46">
        <f>IF('SA Apr 2020'!O47="",$C$54*$C$55*'SA Apr 2020'!N47/100,IF($C$54*$C$55&gt;='SA Apr 2020'!P47,('SA Apr 2020'!P47*'SA Apr 2020'!N47/100),($C$54*$C$55*'SA Apr 2020'!N47/100)))</f>
        <v>1463.6363636363635</v>
      </c>
      <c r="E69" s="46">
        <f>IF(AND('SA Apr 2020'!P47&gt;0,'SA Apr 2020'!R47&gt;0),IF($C$54*$C$55&lt;'SA Apr 2020'!P47,0,IF($C$54*$C$55&lt;=('SA Apr 2020'!R47+'SA Apr 2020'!P47),(($C$54*$C$55-'SA Apr 2020'!P47)*'SA Apr 2020'!Q47/100),(('SA Apr 2020'!R47)*'SA Apr 2020'!Q47/100))),0)</f>
        <v>0</v>
      </c>
      <c r="F69" s="46">
        <f>IF(AND('SA Apr 2020'!Q31&gt;0,'SA Apr 2020'!S31&gt;0),IF($C$54*$C$55&lt;('SA Apr 2020'!R31+'SA Apr 2020'!P31),0,IF($C$54*$C$55&lt;=('SA Apr 2020'!T31+'SA Apr 2020'!R31+'SA Apr 2020'!P31),(($C$54*$C$55-('SA Apr 2020'!R31+'SA Apr 2020'!P31))*'SA Apr 2020'!S31/100),('SA Apr 2020'!T31*'SA Apr 2020'!S31/100))),0)</f>
        <v>0</v>
      </c>
      <c r="G69" s="50">
        <f>IF(AND('SA Apr 2020'!R47&gt;0,'SA Apr 2020'!T47&gt;0),IF(($C$54*$C$55&lt;'SA Apr 2020'!T47),(0),($C$54*$C$55-'SA Apr 2020'!T47)*'SA Apr 2020'!U47/100),IF(AND('SA Apr 2020'!R47&gt;0,'SA Apr 2020'!T47=""),IF(($C$54*$C$55&lt;'SA Apr 2020'!R47+'SA Apr 2020'!P47),(0),(($C$54*$C$55-('SA Apr 2020'!R47+'SA Apr 2020'!P47))*'SA Apr 2020'!S47/100)),IF(AND('SA Apr 2020'!P47&gt;0,'SA Apr 2020'!R47=""&gt;0),IF(($C$54*$C$55&lt;'SA Apr 2020'!P47),(0),($C$54*$C$55-'SA Apr 2020'!P47)*'SA Apr 2020'!Q47/100),0)))</f>
        <v>0</v>
      </c>
      <c r="H69" s="51">
        <f>($C$54*$C$56)*'SA Apr 2020'!W47/100</f>
        <v>367.49999864999995</v>
      </c>
      <c r="I69" s="52">
        <f t="shared" si="81"/>
        <v>1909.7421622863635</v>
      </c>
      <c r="J69" s="109">
        <f t="shared" si="82"/>
        <v>7324.5454491454539</v>
      </c>
      <c r="K69" s="109">
        <f t="shared" si="77"/>
        <v>7638.968649145454</v>
      </c>
      <c r="L69" s="53">
        <f t="shared" si="78"/>
        <v>8402.8655140600004</v>
      </c>
      <c r="M69" s="54">
        <f>'SA Apr 2020'!BB47</f>
        <v>0</v>
      </c>
      <c r="N69" s="54">
        <f>'SA Apr 2020'!BC47</f>
        <v>0</v>
      </c>
      <c r="O69" s="54">
        <f>'SA Apr 2020'!BD47</f>
        <v>0</v>
      </c>
      <c r="P69" s="54">
        <f>'SA Apr 2020'!BE47</f>
        <v>0</v>
      </c>
      <c r="Q69" s="110" t="str">
        <f t="shared" si="86"/>
        <v>No discount</v>
      </c>
      <c r="R69" s="73" t="str">
        <f t="shared" si="80"/>
        <v>Exclusive</v>
      </c>
      <c r="S69" s="111">
        <f t="shared" si="84"/>
        <v>7638.968649145454</v>
      </c>
      <c r="T69" s="112">
        <f t="shared" si="85"/>
        <v>7638.968649145454</v>
      </c>
      <c r="U69" s="97">
        <f t="shared" si="83"/>
        <v>8402.8655140600004</v>
      </c>
      <c r="V69" s="98">
        <f t="shared" si="83"/>
        <v>8402.8655140600004</v>
      </c>
      <c r="W69" s="55">
        <f>'SA Apr 2020'!BL47</f>
        <v>0</v>
      </c>
      <c r="X69" s="56" t="str">
        <f>'SA Apr 2020'!BM47</f>
        <v>n</v>
      </c>
      <c r="Z69" s="289"/>
      <c r="AB69" s="289"/>
      <c r="AD69" s="289"/>
      <c r="AF69" s="289"/>
      <c r="AH69" s="289"/>
      <c r="AJ69" s="289"/>
      <c r="AL69" s="289"/>
      <c r="AN69" s="289"/>
      <c r="AP69" s="289"/>
      <c r="AR69" s="289"/>
      <c r="AT69" s="289"/>
      <c r="AV69" s="289"/>
      <c r="AX69" s="289"/>
      <c r="AZ69" s="289"/>
    </row>
    <row r="70" spans="1:53" x14ac:dyDescent="0.15">
      <c r="A70" s="70" t="str">
        <f>'SA Apr 2020'!K48</f>
        <v>Blue NRG</v>
      </c>
      <c r="B70" s="49" t="str">
        <f>'SA Apr 2020'!L48</f>
        <v>Blue Essential</v>
      </c>
      <c r="C70" s="46">
        <f>IF('SA Apr 2020'!BP48=0,91*'SA Apr 2020'!M48/100,(91*'SA Apr 2020'!M48/100)+'SA Apr 2020'!BP48/4)</f>
        <v>108.39754545454545</v>
      </c>
      <c r="D70" s="46">
        <f>IF('SA Apr 2020'!O48="",$C$54*$C$55*'SA Apr 2020'!N48/100,IF($C$54*$C$55&gt;='SA Apr 2020'!P48,('SA Apr 2020'!P48*'SA Apr 2020'!N48/100),($C$54*$C$55*'SA Apr 2020'!N48/100)))</f>
        <v>1477.9545454545453</v>
      </c>
      <c r="E70" s="46">
        <f>IF(AND('SA Apr 2020'!P48&gt;0,'SA Apr 2020'!R48&gt;0),IF($C$54*$C$55&lt;'SA Apr 2020'!P48,0,IF($C$54*$C$55&lt;=('SA Apr 2020'!R48+'SA Apr 2020'!P48),(($C$54*$C$55-'SA Apr 2020'!P48)*'SA Apr 2020'!Q48/100),(('SA Apr 2020'!R48)*'SA Apr 2020'!Q48/100))),0)</f>
        <v>0</v>
      </c>
      <c r="F70" s="46">
        <f>IF(AND('SA Apr 2020'!Q32&gt;0,'SA Apr 2020'!S32&gt;0),IF($C$54*$C$55&lt;('SA Apr 2020'!R32+'SA Apr 2020'!P32),0,IF($C$54*$C$55&lt;=('SA Apr 2020'!T32+'SA Apr 2020'!R32+'SA Apr 2020'!P32),(($C$54*$C$55-('SA Apr 2020'!R32+'SA Apr 2020'!P32))*'SA Apr 2020'!S32/100),('SA Apr 2020'!T32*'SA Apr 2020'!S32/100))),0)</f>
        <v>0</v>
      </c>
      <c r="G70" s="50">
        <f>IF(AND('SA Apr 2020'!R48&gt;0,'SA Apr 2020'!T48&gt;0),IF(($C$54*$C$55&lt;'SA Apr 2020'!T48),(0),($C$54*$C$55-'SA Apr 2020'!T48)*'SA Apr 2020'!U48/100),IF(AND('SA Apr 2020'!R48&gt;0,'SA Apr 2020'!T48=""),IF(($C$54*$C$55&lt;'SA Apr 2020'!R48+'SA Apr 2020'!P48),(0),(($C$54*$C$55-('SA Apr 2020'!R48+'SA Apr 2020'!P48))*'SA Apr 2020'!S48/100)),IF(AND('SA Apr 2020'!P48&gt;0,'SA Apr 2020'!R48=""&gt;0),IF(($C$54*$C$55&lt;'SA Apr 2020'!P48),(0),($C$54*$C$55-'SA Apr 2020'!P48)*'SA Apr 2020'!Q48/100),0)))</f>
        <v>0</v>
      </c>
      <c r="H70" s="51">
        <f>($C$54*$C$56)*'SA Apr 2020'!W48/100</f>
        <v>389.85</v>
      </c>
      <c r="I70" s="52">
        <f t="shared" si="81"/>
        <v>1976.2020909090907</v>
      </c>
      <c r="J70" s="109">
        <f t="shared" si="82"/>
        <v>7471.2181818181807</v>
      </c>
      <c r="K70" s="109">
        <f t="shared" si="77"/>
        <v>7904.8083636363626</v>
      </c>
      <c r="L70" s="53">
        <f t="shared" si="78"/>
        <v>8695.2891999999993</v>
      </c>
      <c r="M70" s="54">
        <f>'SA Apr 2020'!BB48</f>
        <v>0</v>
      </c>
      <c r="N70" s="54">
        <f>'SA Apr 2020'!BC48</f>
        <v>0</v>
      </c>
      <c r="O70" s="54">
        <f>'SA Apr 2020'!BD48</f>
        <v>0</v>
      </c>
      <c r="P70" s="54">
        <f>'SA Apr 2020'!BE48</f>
        <v>0</v>
      </c>
      <c r="Q70" s="110" t="str">
        <f t="shared" si="86"/>
        <v>No discount</v>
      </c>
      <c r="R70" s="73" t="str">
        <f t="shared" si="80"/>
        <v>Exclusive</v>
      </c>
      <c r="S70" s="111">
        <f t="shared" si="84"/>
        <v>7904.8083636363626</v>
      </c>
      <c r="T70" s="112">
        <f t="shared" si="85"/>
        <v>7904.8083636363626</v>
      </c>
      <c r="U70" s="97">
        <f t="shared" si="83"/>
        <v>8695.2891999999993</v>
      </c>
      <c r="V70" s="98">
        <f t="shared" si="83"/>
        <v>8695.2891999999993</v>
      </c>
      <c r="W70" s="55">
        <f>'SA Apr 2020'!BL48</f>
        <v>0</v>
      </c>
      <c r="X70" s="56" t="str">
        <f>'SA Apr 2020'!BM48</f>
        <v>n</v>
      </c>
      <c r="Z70" s="289"/>
      <c r="AB70" s="289"/>
      <c r="AD70" s="289"/>
      <c r="AF70" s="289"/>
      <c r="AH70" s="289"/>
      <c r="AJ70" s="289"/>
      <c r="AL70" s="289"/>
      <c r="AN70" s="289"/>
      <c r="AP70" s="289"/>
      <c r="AR70" s="289"/>
      <c r="AT70" s="289"/>
      <c r="AV70" s="289"/>
      <c r="AX70" s="289"/>
      <c r="AZ70" s="289"/>
    </row>
    <row r="71" spans="1:53" x14ac:dyDescent="0.15">
      <c r="A71" s="70" t="str">
        <f>'SA Apr 2020'!K49</f>
        <v>Powershop</v>
      </c>
      <c r="B71" s="49" t="str">
        <f>'SA Apr 2020'!L49</f>
        <v>Shopper with Mega Pack</v>
      </c>
      <c r="C71" s="46">
        <f>IF('SA Apr 2020'!BP49=0,91*'SA Apr 2020'!M49/100,(91*'SA Apr 2020'!M49/100)+'SA Apr 2020'!BP49/4)</f>
        <v>100.71880000000002</v>
      </c>
      <c r="D71" s="46">
        <f>IF('SA Apr 2020'!O49="",$C$54*$C$55*'SA Apr 2020'!N49/100,IF($C$54*$C$55&gt;='SA Apr 2020'!P49,('SA Apr 2020'!P49*'SA Apr 2020'!N49/100),($C$54*$C$55*'SA Apr 2020'!N49/100)))</f>
        <v>1330.7</v>
      </c>
      <c r="E71" s="46">
        <f>IF(AND('SA Apr 2020'!P49&gt;0,'SA Apr 2020'!R49&gt;0),IF($C$54*$C$55&lt;'SA Apr 2020'!P49,0,IF($C$54*$C$55&lt;=('SA Apr 2020'!R49+'SA Apr 2020'!P49),(($C$54*$C$55-'SA Apr 2020'!P49)*'SA Apr 2020'!Q49/100),(('SA Apr 2020'!R49)*'SA Apr 2020'!Q49/100))),0)</f>
        <v>0</v>
      </c>
      <c r="F71" s="46">
        <f>IF(AND('SA Apr 2020'!Q33&gt;0,'SA Apr 2020'!S33&gt;0),IF($C$54*$C$55&lt;('SA Apr 2020'!R33+'SA Apr 2020'!P33),0,IF($C$54*$C$55&lt;=('SA Apr 2020'!T33+'SA Apr 2020'!R33+'SA Apr 2020'!P33),(($C$54*$C$55-('SA Apr 2020'!R33+'SA Apr 2020'!P33))*'SA Apr 2020'!S33/100),('SA Apr 2020'!T33*'SA Apr 2020'!S33/100))),0)</f>
        <v>0</v>
      </c>
      <c r="G71" s="50">
        <f>IF(AND('SA Apr 2020'!R49&gt;0,'SA Apr 2020'!T49&gt;0),IF(($C$54*$C$55&lt;'SA Apr 2020'!T49),(0),($C$54*$C$55-'SA Apr 2020'!T49)*'SA Apr 2020'!U49/100),IF(AND('SA Apr 2020'!R49&gt;0,'SA Apr 2020'!T49=""),IF(($C$54*$C$55&lt;'SA Apr 2020'!R49+'SA Apr 2020'!P49),(0),(($C$54*$C$55-('SA Apr 2020'!R49+'SA Apr 2020'!P49))*'SA Apr 2020'!S49/100)),IF(AND('SA Apr 2020'!P49&gt;0,'SA Apr 2020'!R49=""&gt;0),IF(($C$54*$C$55&lt;'SA Apr 2020'!P49),(0),($C$54*$C$55-'SA Apr 2020'!P49)*'SA Apr 2020'!Q49/100),0)))</f>
        <v>0</v>
      </c>
      <c r="H71" s="51">
        <f>($C$54*$C$56)*'SA Apr 2020'!W49/100</f>
        <v>424.09090909090497</v>
      </c>
      <c r="I71" s="52">
        <f t="shared" si="81"/>
        <v>1855.5097090909051</v>
      </c>
      <c r="J71" s="109">
        <f t="shared" si="82"/>
        <v>7019.1636363636198</v>
      </c>
      <c r="K71" s="109">
        <f t="shared" si="77"/>
        <v>7422.0388363636202</v>
      </c>
      <c r="L71" s="53">
        <f t="shared" si="78"/>
        <v>8164.2427199999829</v>
      </c>
      <c r="M71" s="54">
        <f>'SA Apr 2020'!BB49</f>
        <v>0</v>
      </c>
      <c r="N71" s="54">
        <f>'SA Apr 2020'!BC49</f>
        <v>0</v>
      </c>
      <c r="O71" s="54">
        <f>'SA Apr 2020'!BD49</f>
        <v>12</v>
      </c>
      <c r="P71" s="54">
        <f>'SA Apr 2020'!BE49</f>
        <v>0</v>
      </c>
      <c r="Q71" s="110" t="str">
        <f t="shared" si="86"/>
        <v>Pay-on-time off bill</v>
      </c>
      <c r="R71" s="73" t="str">
        <f t="shared" si="80"/>
        <v>Inclusive</v>
      </c>
      <c r="S71" s="111">
        <f t="shared" si="84"/>
        <v>7422.0388363636202</v>
      </c>
      <c r="T71" s="112">
        <f t="shared" si="85"/>
        <v>6531.3941759999852</v>
      </c>
      <c r="U71" s="97">
        <f t="shared" si="83"/>
        <v>8164.2427199999829</v>
      </c>
      <c r="V71" s="98">
        <f t="shared" si="83"/>
        <v>7184.5335935999847</v>
      </c>
      <c r="W71" s="55">
        <f>'SA Apr 2020'!BL49</f>
        <v>0</v>
      </c>
      <c r="X71" s="56" t="str">
        <f>'SA Apr 2020'!BM49</f>
        <v>n</v>
      </c>
    </row>
    <row r="72" spans="1:53" x14ac:dyDescent="0.15">
      <c r="A72" s="70" t="str">
        <f>'SA Apr 2020'!K50</f>
        <v>Amaysim</v>
      </c>
      <c r="B72" s="73" t="str">
        <f>'SA Apr 2020'!L50</f>
        <v>Business as you go</v>
      </c>
      <c r="C72" s="46">
        <f>IF('SA Apr 2020'!BP50=0,91*'SA Apr 2020'!M50/100,(91*'SA Apr 2020'!M50/100)+'SA Apr 2020'!BP50/4)</f>
        <v>58.558499999999995</v>
      </c>
      <c r="D72" s="46">
        <f>IF('SA Apr 2020'!O50="",$C$54*$C$55*'SA Apr 2020'!N50/100,IF($C$54*$C$55&gt;='SA Apr 2020'!P50,('SA Apr 2020'!P50*'SA Apr 2020'!N50/100),($C$54*$C$55*'SA Apr 2020'!N50/100)))</f>
        <v>1307.5999999999999</v>
      </c>
      <c r="E72" s="46">
        <f>IF(AND('SA Apr 2020'!P50&gt;0,'SA Apr 2020'!R50&gt;0),IF($C$54*$C$55&lt;'SA Apr 2020'!P50,0,IF($C$54*$C$55&lt;=('SA Apr 2020'!R50+'SA Apr 2020'!P50),(($C$54*$C$55-'SA Apr 2020'!P50)*'SA Apr 2020'!Q50/100),(('SA Apr 2020'!R50)*'SA Apr 2020'!Q50/100))),0)</f>
        <v>0</v>
      </c>
      <c r="F72" s="46">
        <f>IF(AND('SA Apr 2020'!Q34&gt;0,'SA Apr 2020'!S34&gt;0),IF($C$54*$C$55&lt;('SA Apr 2020'!R34+'SA Apr 2020'!P34),0,IF($C$54*$C$55&lt;=('SA Apr 2020'!T34+'SA Apr 2020'!R34+'SA Apr 2020'!P34),(($C$54*$C$55-('SA Apr 2020'!R34+'SA Apr 2020'!P34))*'SA Apr 2020'!S34/100),('SA Apr 2020'!T34*'SA Apr 2020'!S34/100))),0)</f>
        <v>0</v>
      </c>
      <c r="G72" s="50">
        <f>IF(AND('SA Apr 2020'!R50&gt;0,'SA Apr 2020'!T50&gt;0),IF(($C$54*$C$55&lt;'SA Apr 2020'!T50),(0),($C$54*$C$55-'SA Apr 2020'!T50)*'SA Apr 2020'!U50/100),IF(AND('SA Apr 2020'!R50&gt;0,'SA Apr 2020'!T50=""),IF(($C$54*$C$55&lt;'SA Apr 2020'!R50+'SA Apr 2020'!P50),(0),(($C$54*$C$55-('SA Apr 2020'!R50+'SA Apr 2020'!P50))*'SA Apr 2020'!S50/100)),IF(AND('SA Apr 2020'!P50&gt;0,'SA Apr 2020'!R50=""&gt;0),IF(($C$54*$C$55&lt;'SA Apr 2020'!P50),(0),($C$54*$C$55-'SA Apr 2020'!P50)*'SA Apr 2020'!Q50/100),0)))</f>
        <v>0</v>
      </c>
      <c r="H72" s="46">
        <f>($C$54*$C$56)*'SA Apr 2020'!W50/100</f>
        <v>59.4</v>
      </c>
      <c r="I72" s="52">
        <f t="shared" si="81"/>
        <v>1425.5585000000001</v>
      </c>
      <c r="J72" s="109">
        <f t="shared" si="82"/>
        <v>5468</v>
      </c>
      <c r="K72" s="109">
        <f t="shared" si="77"/>
        <v>5702.2340000000004</v>
      </c>
      <c r="L72" s="53">
        <f t="shared" si="78"/>
        <v>6272.4574000000011</v>
      </c>
      <c r="M72" s="54">
        <f>'SA Apr 2020'!BB50</f>
        <v>0</v>
      </c>
      <c r="N72" s="54">
        <f>'SA Apr 2020'!BC50</f>
        <v>0</v>
      </c>
      <c r="O72" s="54">
        <f>'SA Apr 2020'!BD50</f>
        <v>0</v>
      </c>
      <c r="P72" s="54">
        <f>'SA Apr 2020'!BE50</f>
        <v>0</v>
      </c>
      <c r="Q72" s="110" t="str">
        <f t="shared" si="86"/>
        <v>No discount</v>
      </c>
      <c r="R72" s="73" t="str">
        <f t="shared" si="80"/>
        <v>Exclusive</v>
      </c>
      <c r="S72" s="111">
        <f t="shared" si="84"/>
        <v>5702.2340000000004</v>
      </c>
      <c r="T72" s="112">
        <f t="shared" si="85"/>
        <v>5702.2340000000004</v>
      </c>
      <c r="U72" s="97">
        <f t="shared" si="83"/>
        <v>6272.4574000000011</v>
      </c>
      <c r="V72" s="98">
        <f t="shared" si="83"/>
        <v>6272.4574000000011</v>
      </c>
      <c r="W72" s="55">
        <f>'SA Apr 2020'!BL50</f>
        <v>0</v>
      </c>
      <c r="X72" s="56" t="str">
        <f>'SA Apr 2020'!BM50</f>
        <v>n</v>
      </c>
    </row>
    <row r="73" spans="1:53" x14ac:dyDescent="0.15">
      <c r="A73" s="70" t="str">
        <f>'SA Apr 2020'!K51</f>
        <v>Powerclub</v>
      </c>
      <c r="B73" s="73" t="str">
        <f>'SA Apr 2020'!L51</f>
        <v>Powerbank Business</v>
      </c>
      <c r="C73" s="46">
        <f>IF('SA Apr 2020'!BP51=0,91*'SA Apr 2020'!M51/100,(91*'SA Apr 2020'!M51/100)+'SA Apr 2020'!BP51/4)</f>
        <v>105.04563636363635</v>
      </c>
      <c r="D73" s="46">
        <f>IF('SA Apr 2020'!O51="",$C$54*$C$55*'SA Apr 2020'!N51/100,IF($C$54*$C$55&gt;='SA Apr 2020'!P51,('SA Apr 2020'!P51*'SA Apr 2020'!N51/100),($C$54*$C$55*'SA Apr 2020'!N51/100)))</f>
        <v>1083.090909090909</v>
      </c>
      <c r="E73" s="46">
        <f>IF(AND('SA Apr 2020'!P51&gt;0,'SA Apr 2020'!R51&gt;0),IF($C$54*$C$55&lt;'SA Apr 2020'!P51,0,IF($C$54*$C$55&lt;=('SA Apr 2020'!R51+'SA Apr 2020'!P51),(($C$54*$C$55-'SA Apr 2020'!P51)*'SA Apr 2020'!Q51/100),(('SA Apr 2020'!R51)*'SA Apr 2020'!Q51/100))),0)</f>
        <v>0</v>
      </c>
      <c r="F73" s="46">
        <f>IF(AND('SA Apr 2020'!Q37&gt;0,'SA Apr 2020'!S37&gt;0),IF($C$54*$C$55&lt;('SA Apr 2020'!R37+'SA Apr 2020'!P37),0,IF($C$54*$C$55&lt;=('SA Apr 2020'!T37+'SA Apr 2020'!R37+'SA Apr 2020'!P37),(($C$54*$C$55-('SA Apr 2020'!R37+'SA Apr 2020'!P37))*'SA Apr 2020'!S37/100),('SA Apr 2020'!T37*'SA Apr 2020'!S37/100))),0)</f>
        <v>0</v>
      </c>
      <c r="G73" s="50">
        <f>IF(AND('SA Apr 2020'!R51&gt;0,'SA Apr 2020'!T51&gt;0),IF(($C$54*$C$55&lt;'SA Apr 2020'!T51),(0),($C$54*$C$55-'SA Apr 2020'!T51)*'SA Apr 2020'!U51/100),IF(AND('SA Apr 2020'!R51&gt;0,'SA Apr 2020'!T51=""),IF(($C$54*$C$55&lt;'SA Apr 2020'!R51+'SA Apr 2020'!P51),(0),(($C$54*$C$55-('SA Apr 2020'!R51+'SA Apr 2020'!P51))*'SA Apr 2020'!S51/100)),IF(AND('SA Apr 2020'!P51&gt;0,'SA Apr 2020'!R51=""&gt;0),IF(($C$54*$C$55&lt;'SA Apr 2020'!P51),(0),($C$54*$C$55-'SA Apr 2020'!P51)*'SA Apr 2020'!Q51/100),0)))</f>
        <v>0</v>
      </c>
      <c r="H73" s="46">
        <f>($C$54*$C$56)*'SA Apr 2020'!W51/100</f>
        <v>339.81818181818176</v>
      </c>
      <c r="I73" s="52">
        <f t="shared" si="81"/>
        <v>1527.954727272727</v>
      </c>
      <c r="J73" s="109">
        <f t="shared" si="82"/>
        <v>5691.6363636363631</v>
      </c>
      <c r="K73" s="109">
        <f t="shared" si="77"/>
        <v>6111.8189090909082</v>
      </c>
      <c r="L73" s="53">
        <f t="shared" si="78"/>
        <v>6723.0007999999998</v>
      </c>
      <c r="M73" s="54">
        <f>'SA Apr 2020'!BB51</f>
        <v>0</v>
      </c>
      <c r="N73" s="54">
        <f>'SA Apr 2020'!BC51</f>
        <v>0</v>
      </c>
      <c r="O73" s="54">
        <f>'SA Apr 2020'!BD51</f>
        <v>0</v>
      </c>
      <c r="P73" s="54">
        <f>'SA Apr 2020'!BE51</f>
        <v>0</v>
      </c>
      <c r="Q73" s="110" t="str">
        <f t="shared" si="86"/>
        <v>No discount</v>
      </c>
      <c r="R73" s="73" t="str">
        <f t="shared" si="80"/>
        <v>Exclusive</v>
      </c>
      <c r="S73" s="111">
        <f t="shared" si="84"/>
        <v>6111.8189090909082</v>
      </c>
      <c r="T73" s="112">
        <f t="shared" si="85"/>
        <v>6111.8189090909082</v>
      </c>
      <c r="U73" s="97">
        <f t="shared" si="83"/>
        <v>6723.0007999999998</v>
      </c>
      <c r="V73" s="98">
        <f t="shared" si="83"/>
        <v>6723.0007999999998</v>
      </c>
      <c r="W73" s="55">
        <f>'SA Apr 2020'!BL51</f>
        <v>0</v>
      </c>
      <c r="X73" s="56">
        <f>'SA Apr 2020'!BM51</f>
        <v>0</v>
      </c>
    </row>
    <row r="74" spans="1:53" ht="15" thickBot="1" x14ac:dyDescent="0.2">
      <c r="A74" s="71" t="str">
        <f>'SA Apr 2020'!K52</f>
        <v>Energy Locals</v>
      </c>
      <c r="B74" s="72" t="str">
        <f>'SA Apr 2020'!L52</f>
        <v>Business Member</v>
      </c>
      <c r="C74" s="58">
        <f>IF('SA Apr 2020'!BP52=0,91*'SA Apr 2020'!M52/100,(91*'SA Apr 2020'!M52/100)+'SA Apr 2020'!BP52/4)</f>
        <v>155.52249999999998</v>
      </c>
      <c r="D74" s="58">
        <f>IF('SA Apr 2020'!O52="",$C$54*$C$55*'SA Apr 2020'!N52/100,IF($C$54*$C$55&gt;='SA Apr 2020'!P52,('SA Apr 2020'!P52*'SA Apr 2020'!N52/100),($C$54*$C$55*'SA Apr 2020'!N52/100)))</f>
        <v>1225</v>
      </c>
      <c r="E74" s="58">
        <f>IF(AND('SA Apr 2020'!P52&gt;0,'SA Apr 2020'!R52&gt;0),IF($C$54*$C$55&lt;'SA Apr 2020'!P52,0,IF($C$54*$C$55&lt;=('SA Apr 2020'!R52+'SA Apr 2020'!P52),(($C$54*$C$55-'SA Apr 2020'!P52)*'SA Apr 2020'!Q52/100),(('SA Apr 2020'!R52)*'SA Apr 2020'!Q52/100))),0)</f>
        <v>0</v>
      </c>
      <c r="F74" s="58">
        <f>IF(AND('SA Apr 2020'!Q38&gt;0,'SA Apr 2020'!S38&gt;0),IF($C$54*$C$55&lt;('SA Apr 2020'!R38+'SA Apr 2020'!P38),0,IF($C$54*$C$55&lt;=('SA Apr 2020'!T38+'SA Apr 2020'!R38+'SA Apr 2020'!P38),(($C$54*$C$55-('SA Apr 2020'!R38+'SA Apr 2020'!P38))*'SA Apr 2020'!S38/100),('SA Apr 2020'!T38*'SA Apr 2020'!S38/100))),0)</f>
        <v>0</v>
      </c>
      <c r="G74" s="59">
        <f>IF(AND('SA Apr 2020'!R52&gt;0,'SA Apr 2020'!T52&gt;0),IF(($C$54*$C$55&lt;'SA Apr 2020'!T52),(0),($C$54*$C$55-'SA Apr 2020'!T52)*'SA Apr 2020'!U52/100),IF(AND('SA Apr 2020'!R52&gt;0,'SA Apr 2020'!T52=""),IF(($C$54*$C$55&lt;'SA Apr 2020'!R52+'SA Apr 2020'!P52),(0),(($C$54*$C$55-('SA Apr 2020'!R52+'SA Apr 2020'!P52))*'SA Apr 2020'!S52/100)),IF(AND('SA Apr 2020'!P52&gt;0,'SA Apr 2020'!R52=""&gt;0),IF(($C$54*$C$55&lt;'SA Apr 2020'!P52),(0),($C$54*$C$55-'SA Apr 2020'!P52)*'SA Apr 2020'!Q52/100),0)))</f>
        <v>0</v>
      </c>
      <c r="H74" s="58">
        <f>($C$54*$C$56)*'SA Apr 2020'!W52/100</f>
        <v>402.27272727272725</v>
      </c>
      <c r="I74" s="61">
        <f t="shared" si="81"/>
        <v>1782.7952272727273</v>
      </c>
      <c r="J74" s="113">
        <f t="shared" si="82"/>
        <v>6509.090909090909</v>
      </c>
      <c r="K74" s="114">
        <f t="shared" si="77"/>
        <v>7131.1809090909092</v>
      </c>
      <c r="L74" s="62">
        <f t="shared" si="78"/>
        <v>7844.2990000000009</v>
      </c>
      <c r="M74" s="63">
        <f>'SA Apr 2020'!BB52</f>
        <v>0</v>
      </c>
      <c r="N74" s="63">
        <f>'SA Apr 2020'!BC52</f>
        <v>0</v>
      </c>
      <c r="O74" s="63">
        <f>'SA Apr 2020'!BD52</f>
        <v>0</v>
      </c>
      <c r="P74" s="63">
        <f>'SA Apr 2020'!BE52</f>
        <v>0</v>
      </c>
      <c r="Q74" s="115" t="str">
        <f t="shared" si="86"/>
        <v>No discount</v>
      </c>
      <c r="R74" s="72" t="str">
        <f t="shared" si="80"/>
        <v>Exclusive</v>
      </c>
      <c r="S74" s="113">
        <f t="shared" si="84"/>
        <v>7131.1809090909092</v>
      </c>
      <c r="T74" s="114">
        <f t="shared" si="85"/>
        <v>7131.1809090909092</v>
      </c>
      <c r="U74" s="62">
        <f t="shared" ref="U74" si="87">IF(R74="Exclusive",S74*1.1,S74)</f>
        <v>7844.2990000000009</v>
      </c>
      <c r="V74" s="62">
        <f t="shared" ref="V74" si="88">IF(R74="Exclusive",T74*1.1,T74)</f>
        <v>7844.2990000000009</v>
      </c>
      <c r="W74" s="64">
        <f>'SA Apr 2020'!BL52</f>
        <v>0</v>
      </c>
      <c r="X74" s="65" t="str">
        <f>'SA Apr 2020'!BM52</f>
        <v>n</v>
      </c>
    </row>
  </sheetData>
  <sheetProtection algorithmName="SHA-512" hashValue="AGtnS5tQC5eR1wG3yGSedaB8mcLoUzQQBsWDnA3H2IGOuJ4jDW4iFYvO7f8OhTdMU7P2CfvnNO6otYPav79hSw==" saltValue="b1xUHpMBXNWtAdx27l2fvg==" spinCount="100000" sheet="1" objects="1" scenarios="1"/>
  <conditionalFormatting sqref="A8:I25 L8:P25 U8:X25 A34:I50 L34:P50 U34:X50">
    <cfRule type="expression" dxfId="19" priority="3">
      <formula>MOD(ROW(),2)=0</formula>
    </cfRule>
  </conditionalFormatting>
  <conditionalFormatting sqref="A59:X74">
    <cfRule type="expression" dxfId="18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2" max="16383" man="1" pt="1"/>
  </rowBreaks>
  <ignoredErrors>
    <ignoredError sqref="C14" evalError="1"/>
  </ignoredError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Notes</vt:lpstr>
      <vt:lpstr>SA Bills Oct 2023</vt:lpstr>
      <vt:lpstr>SA Bills Apr 2023</vt:lpstr>
      <vt:lpstr>SA Bills October 2022</vt:lpstr>
      <vt:lpstr>SA Bills April 2022</vt:lpstr>
      <vt:lpstr>SA Bills October 2021</vt:lpstr>
      <vt:lpstr>SA Bills April 2021</vt:lpstr>
      <vt:lpstr>SA Bills October 2020</vt:lpstr>
      <vt:lpstr>SA Bills April 2020</vt:lpstr>
      <vt:lpstr>SA Bills October 2019</vt:lpstr>
      <vt:lpstr>SA Bills April 2019</vt:lpstr>
      <vt:lpstr>SA Bills October 2018</vt:lpstr>
      <vt:lpstr>SA Bills April 2018</vt:lpstr>
      <vt:lpstr>SA Bills October 2017</vt:lpstr>
      <vt:lpstr>SA Bills April 2017</vt:lpstr>
      <vt:lpstr>SA Bills April 2016</vt:lpstr>
      <vt:lpstr>SA Oct 2023</vt:lpstr>
      <vt:lpstr>SA Apr 2023</vt:lpstr>
      <vt:lpstr>SA Oct 2022</vt:lpstr>
      <vt:lpstr>SA Apr 2022</vt:lpstr>
      <vt:lpstr>SA Oct 2021</vt:lpstr>
      <vt:lpstr>SA Apr 2021</vt:lpstr>
      <vt:lpstr>SA Oct 2020</vt:lpstr>
      <vt:lpstr>SA Apr 2020</vt:lpstr>
      <vt:lpstr>SA Oct 2019</vt:lpstr>
      <vt:lpstr>SA Apr 2019</vt:lpstr>
      <vt:lpstr>SA Oct 2018</vt:lpstr>
      <vt:lpstr>SA Apr 2018</vt:lpstr>
      <vt:lpstr>SA Oct 2017</vt:lpstr>
      <vt:lpstr>SA Apr 2017</vt:lpstr>
      <vt:lpstr>SA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2016-05-02T05:38:29Z</dcterms:created>
  <dcterms:modified xsi:type="dcterms:W3CDTF">2023-12-07T01:41:39Z</dcterms:modified>
</cp:coreProperties>
</file>